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/>
  <mc:AlternateContent xmlns:mc="http://schemas.openxmlformats.org/markup-compatibility/2006">
    <mc:Choice Requires="x15">
      <x15ac:absPath xmlns:x15ac="http://schemas.microsoft.com/office/spreadsheetml/2010/11/ac" url="https://d.docs.live.net/385649d22ccf351b/문서/Finance/Excel Data/"/>
    </mc:Choice>
  </mc:AlternateContent>
  <xr:revisionPtr revIDLastSave="11" documentId="8_{3516AC65-23CF-4B08-88FE-9F53064B0599}" xr6:coauthVersionLast="47" xr6:coauthVersionMax="47" xr10:uidLastSave="{C47C9A09-8A76-4D7C-8D1D-8198C5AA4F98}"/>
  <bookViews>
    <workbookView xWindow="-38520" yWindow="-2295" windowWidth="38640" windowHeight="21120" xr2:uid="{00000000-000D-0000-FFFF-FFFF00000000}"/>
  </bookViews>
  <sheets>
    <sheet name="영풍정밀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" roundtripDataSignature="AMtx7mjRzUCbpIBOjXUv7HyBdaCYTmvPcQ=="/>
    </ext>
  </extLst>
</workbook>
</file>

<file path=xl/calcChain.xml><?xml version="1.0" encoding="utf-8"?>
<calcChain xmlns="http://schemas.openxmlformats.org/spreadsheetml/2006/main">
  <c r="W60" i="1" l="1"/>
  <c r="V60" i="1"/>
  <c r="T60" i="1"/>
  <c r="S60" i="1"/>
  <c r="R60" i="1"/>
  <c r="P60" i="1"/>
  <c r="O60" i="1"/>
  <c r="N60" i="1"/>
  <c r="L60" i="1"/>
  <c r="K60" i="1"/>
  <c r="J60" i="1"/>
  <c r="H60" i="1"/>
  <c r="G60" i="1"/>
  <c r="F60" i="1"/>
  <c r="D60" i="1"/>
  <c r="C60" i="1"/>
  <c r="C81" i="1" l="1"/>
  <c r="C82" i="1" s="1"/>
  <c r="X94" i="1" l="1"/>
  <c r="G47" i="1"/>
  <c r="K47" i="1"/>
  <c r="O47" i="1"/>
  <c r="S47" i="1"/>
  <c r="W47" i="1"/>
  <c r="X47" i="1" s="1"/>
  <c r="C47" i="1"/>
  <c r="G44" i="1"/>
  <c r="K44" i="1"/>
  <c r="O44" i="1"/>
  <c r="S44" i="1"/>
  <c r="W44" i="1"/>
  <c r="X44" i="1" s="1"/>
  <c r="X49" i="1" s="1"/>
  <c r="C44" i="1"/>
  <c r="C53" i="1" s="1"/>
  <c r="G33" i="1"/>
  <c r="K33" i="1"/>
  <c r="O33" i="1"/>
  <c r="S33" i="1"/>
  <c r="W33" i="1"/>
  <c r="C33" i="1"/>
  <c r="G9" i="1"/>
  <c r="H9" i="1"/>
  <c r="I9" i="1"/>
  <c r="D9" i="1"/>
  <c r="E9" i="1"/>
  <c r="K9" i="1"/>
  <c r="L9" i="1"/>
  <c r="M9" i="1"/>
  <c r="O9" i="1"/>
  <c r="P9" i="1"/>
  <c r="Q9" i="1"/>
  <c r="S9" i="1"/>
  <c r="T9" i="1"/>
  <c r="U9" i="1"/>
  <c r="W9" i="1"/>
  <c r="X9" i="1"/>
  <c r="C9" i="1"/>
  <c r="R2" i="1"/>
  <c r="Q2" i="1"/>
  <c r="C71" i="1"/>
  <c r="D71" i="1" s="1"/>
  <c r="E71" i="1" s="1"/>
  <c r="F71" i="1" s="1"/>
  <c r="G71" i="1"/>
  <c r="H71" i="1" s="1"/>
  <c r="I71" i="1" s="1"/>
  <c r="K71" i="1"/>
  <c r="L71" i="1" s="1"/>
  <c r="M71" i="1" s="1"/>
  <c r="N71" i="1" s="1"/>
  <c r="O71" i="1"/>
  <c r="P71" i="1" s="1"/>
  <c r="Q71" i="1" s="1"/>
  <c r="S71" i="1"/>
  <c r="T71" i="1" s="1"/>
  <c r="U71" i="1" s="1"/>
  <c r="V71" i="1" s="1"/>
  <c r="W71" i="1"/>
  <c r="X71" i="1" s="1"/>
  <c r="X72" i="1" s="1"/>
  <c r="X73" i="1" s="1"/>
  <c r="X144" i="1"/>
  <c r="X145" i="1" s="1"/>
  <c r="K30" i="1"/>
  <c r="O30" i="1"/>
  <c r="S30" i="1"/>
  <c r="W30" i="1"/>
  <c r="X31" i="1"/>
  <c r="X29" i="1"/>
  <c r="T31" i="1"/>
  <c r="U31" i="1" s="1"/>
  <c r="T29" i="1"/>
  <c r="U29" i="1" s="1"/>
  <c r="V29" i="1" s="1"/>
  <c r="P31" i="1"/>
  <c r="Q31" i="1" s="1"/>
  <c r="P29" i="1"/>
  <c r="Q29" i="1" s="1"/>
  <c r="R29" i="1" s="1"/>
  <c r="L31" i="1"/>
  <c r="M31" i="1" s="1"/>
  <c r="L29" i="1"/>
  <c r="M29" i="1" s="1"/>
  <c r="N29" i="1" s="1"/>
  <c r="H31" i="1"/>
  <c r="H29" i="1"/>
  <c r="I29" i="1" s="1"/>
  <c r="J29" i="1" s="1"/>
  <c r="D144" i="1"/>
  <c r="E144" i="1" s="1"/>
  <c r="E145" i="1" s="1"/>
  <c r="D109" i="1"/>
  <c r="E109" i="1" s="1"/>
  <c r="F109" i="1" s="1"/>
  <c r="D101" i="1"/>
  <c r="E101" i="1" s="1"/>
  <c r="F101" i="1" s="1"/>
  <c r="D94" i="1"/>
  <c r="E94" i="1" s="1"/>
  <c r="F94" i="1" s="1"/>
  <c r="D46" i="1"/>
  <c r="E46" i="1" s="1"/>
  <c r="F46" i="1" s="1"/>
  <c r="D45" i="1"/>
  <c r="E45" i="1" s="1"/>
  <c r="F45" i="1" s="1"/>
  <c r="D43" i="1"/>
  <c r="E43" i="1" s="1"/>
  <c r="F43" i="1" s="1"/>
  <c r="D42" i="1"/>
  <c r="E42" i="1" s="1"/>
  <c r="D31" i="1"/>
  <c r="E31" i="1" s="1"/>
  <c r="F31" i="1" s="1"/>
  <c r="D29" i="1"/>
  <c r="E29" i="1" s="1"/>
  <c r="E106" i="1"/>
  <c r="F106" i="1" s="1"/>
  <c r="C30" i="1"/>
  <c r="G30" i="1"/>
  <c r="D113" i="1"/>
  <c r="D112" i="1"/>
  <c r="E112" i="1" s="1"/>
  <c r="F112" i="1" s="1"/>
  <c r="D111" i="1"/>
  <c r="D105" i="1"/>
  <c r="E105" i="1" s="1"/>
  <c r="F105" i="1" s="1"/>
  <c r="H112" i="1"/>
  <c r="I112" i="1" s="1"/>
  <c r="J112" i="1" s="1"/>
  <c r="H111" i="1"/>
  <c r="H105" i="1"/>
  <c r="I105" i="1" s="1"/>
  <c r="J105" i="1" s="1"/>
  <c r="H101" i="1"/>
  <c r="I101" i="1" s="1"/>
  <c r="H94" i="1"/>
  <c r="I94" i="1" s="1"/>
  <c r="J94" i="1" s="1"/>
  <c r="D80" i="1"/>
  <c r="E80" i="1" s="1"/>
  <c r="F80" i="1" s="1"/>
  <c r="D79" i="1"/>
  <c r="E79" i="1" s="1"/>
  <c r="F79" i="1" s="1"/>
  <c r="D78" i="1"/>
  <c r="E78" i="1" s="1"/>
  <c r="F78" i="1" s="1"/>
  <c r="D77" i="1"/>
  <c r="E77" i="1" s="1"/>
  <c r="F77" i="1" s="1"/>
  <c r="H80" i="1"/>
  <c r="I80" i="1" s="1"/>
  <c r="J80" i="1" s="1"/>
  <c r="H79" i="1"/>
  <c r="I79" i="1" s="1"/>
  <c r="J79" i="1" s="1"/>
  <c r="H78" i="1"/>
  <c r="I78" i="1" s="1"/>
  <c r="J78" i="1" s="1"/>
  <c r="H77" i="1"/>
  <c r="I77" i="1" s="1"/>
  <c r="J77" i="1" s="1"/>
  <c r="D70" i="1"/>
  <c r="E70" i="1" s="1"/>
  <c r="F70" i="1" s="1"/>
  <c r="D69" i="1"/>
  <c r="E69" i="1" s="1"/>
  <c r="F69" i="1" s="1"/>
  <c r="D68" i="1"/>
  <c r="E68" i="1" s="1"/>
  <c r="F68" i="1" s="1"/>
  <c r="D67" i="1"/>
  <c r="E67" i="1" s="1"/>
  <c r="F67" i="1" s="1"/>
  <c r="D66" i="1"/>
  <c r="E66" i="1" s="1"/>
  <c r="F66" i="1" s="1"/>
  <c r="D65" i="1"/>
  <c r="E65" i="1" s="1"/>
  <c r="F65" i="1" s="1"/>
  <c r="D64" i="1"/>
  <c r="E64" i="1" s="1"/>
  <c r="H70" i="1"/>
  <c r="I70" i="1" s="1"/>
  <c r="J70" i="1" s="1"/>
  <c r="H69" i="1"/>
  <c r="I69" i="1" s="1"/>
  <c r="H68" i="1"/>
  <c r="I68" i="1" s="1"/>
  <c r="J68" i="1" s="1"/>
  <c r="H67" i="1"/>
  <c r="I67" i="1" s="1"/>
  <c r="J67" i="1" s="1"/>
  <c r="H66" i="1"/>
  <c r="I66" i="1" s="1"/>
  <c r="J66" i="1" s="1"/>
  <c r="H65" i="1"/>
  <c r="I65" i="1" s="1"/>
  <c r="J65" i="1" s="1"/>
  <c r="H64" i="1"/>
  <c r="I64" i="1" s="1"/>
  <c r="J64" i="1" s="1"/>
  <c r="H144" i="1"/>
  <c r="I144" i="1" s="1"/>
  <c r="H46" i="1"/>
  <c r="H45" i="1"/>
  <c r="I45" i="1" s="1"/>
  <c r="J45" i="1" s="1"/>
  <c r="H43" i="1"/>
  <c r="I43" i="1" s="1"/>
  <c r="J43" i="1" s="1"/>
  <c r="H42" i="1"/>
  <c r="I42" i="1" s="1"/>
  <c r="J99" i="1"/>
  <c r="D130" i="1"/>
  <c r="E130" i="1"/>
  <c r="F130" i="1"/>
  <c r="G130" i="1"/>
  <c r="H130" i="1"/>
  <c r="I130" i="1"/>
  <c r="J130" i="1"/>
  <c r="K130" i="1"/>
  <c r="C130" i="1"/>
  <c r="K116" i="1"/>
  <c r="K117" i="1" s="1"/>
  <c r="G116" i="1"/>
  <c r="G117" i="1" s="1"/>
  <c r="G119" i="1" s="1"/>
  <c r="O116" i="1"/>
  <c r="O117" i="1" s="1"/>
  <c r="S116" i="1"/>
  <c r="S117" i="1" s="1"/>
  <c r="W116" i="1"/>
  <c r="C116" i="1"/>
  <c r="C117" i="1" s="1"/>
  <c r="C119" i="1" s="1"/>
  <c r="L101" i="1"/>
  <c r="M101" i="1" s="1"/>
  <c r="N101" i="1" s="1"/>
  <c r="L130" i="1"/>
  <c r="L115" i="1"/>
  <c r="L112" i="1"/>
  <c r="M112" i="1" s="1"/>
  <c r="N112" i="1" s="1"/>
  <c r="L114" i="1"/>
  <c r="M114" i="1" s="1"/>
  <c r="N114" i="1" s="1"/>
  <c r="L113" i="1"/>
  <c r="M113" i="1" s="1"/>
  <c r="L105" i="1"/>
  <c r="M105" i="1" s="1"/>
  <c r="N105" i="1" s="1"/>
  <c r="L99" i="1"/>
  <c r="M99" i="1" s="1"/>
  <c r="N99" i="1" s="1"/>
  <c r="L94" i="1"/>
  <c r="M94" i="1" s="1"/>
  <c r="N94" i="1" s="1"/>
  <c r="L144" i="1"/>
  <c r="L145" i="1" s="1"/>
  <c r="L46" i="1"/>
  <c r="M46" i="1" s="1"/>
  <c r="L45" i="1"/>
  <c r="M45" i="1" s="1"/>
  <c r="N45" i="1" s="1"/>
  <c r="L43" i="1"/>
  <c r="M43" i="1" s="1"/>
  <c r="N43" i="1" s="1"/>
  <c r="L42" i="1"/>
  <c r="G145" i="1"/>
  <c r="K145" i="1"/>
  <c r="O145" i="1"/>
  <c r="S145" i="1"/>
  <c r="W145" i="1"/>
  <c r="C145" i="1"/>
  <c r="O130" i="1"/>
  <c r="P130" i="1"/>
  <c r="Q130" i="1"/>
  <c r="R130" i="1"/>
  <c r="S130" i="1"/>
  <c r="T130" i="1"/>
  <c r="U130" i="1"/>
  <c r="V130" i="1"/>
  <c r="W130" i="1"/>
  <c r="X130" i="1"/>
  <c r="N130" i="1"/>
  <c r="M130" i="1"/>
  <c r="I109" i="1"/>
  <c r="I113" i="1"/>
  <c r="J113" i="1" s="1"/>
  <c r="I114" i="1"/>
  <c r="J114" i="1" s="1"/>
  <c r="M109" i="1"/>
  <c r="N109" i="1" s="1"/>
  <c r="E14" i="1"/>
  <c r="H14" i="1"/>
  <c r="I14" i="1"/>
  <c r="L14" i="1"/>
  <c r="M14" i="1"/>
  <c r="P14" i="1"/>
  <c r="Q14" i="1"/>
  <c r="T14" i="1"/>
  <c r="U14" i="1"/>
  <c r="X14" i="1"/>
  <c r="D14" i="1"/>
  <c r="X7" i="1"/>
  <c r="E7" i="1"/>
  <c r="H7" i="1"/>
  <c r="I7" i="1"/>
  <c r="L7" i="1"/>
  <c r="M7" i="1"/>
  <c r="P7" i="1"/>
  <c r="Q7" i="1"/>
  <c r="T7" i="1"/>
  <c r="U7" i="1"/>
  <c r="D7" i="1"/>
  <c r="T144" i="1"/>
  <c r="U144" i="1" s="1"/>
  <c r="U145" i="1" s="1"/>
  <c r="P144" i="1"/>
  <c r="P145" i="1" s="1"/>
  <c r="X137" i="1"/>
  <c r="W137" i="1"/>
  <c r="V137" i="1"/>
  <c r="U137" i="1"/>
  <c r="T137" i="1"/>
  <c r="S137" i="1"/>
  <c r="R137" i="1"/>
  <c r="Q137" i="1"/>
  <c r="P137" i="1"/>
  <c r="O137" i="1"/>
  <c r="N137" i="1"/>
  <c r="M137" i="1"/>
  <c r="L137" i="1"/>
  <c r="K137" i="1"/>
  <c r="J137" i="1"/>
  <c r="P114" i="1"/>
  <c r="Q114" i="1" s="1"/>
  <c r="R114" i="1" s="1"/>
  <c r="T113" i="1"/>
  <c r="U113" i="1" s="1"/>
  <c r="P113" i="1"/>
  <c r="Q113" i="1" s="1"/>
  <c r="X112" i="1"/>
  <c r="P112" i="1"/>
  <c r="Q112" i="1" s="1"/>
  <c r="R112" i="1" s="1"/>
  <c r="T112" i="1" s="1"/>
  <c r="U111" i="1"/>
  <c r="V111" i="1" s="1"/>
  <c r="P111" i="1"/>
  <c r="Q111" i="1" s="1"/>
  <c r="R111" i="1" s="1"/>
  <c r="U110" i="1"/>
  <c r="V110" i="1" s="1"/>
  <c r="Q110" i="1"/>
  <c r="R110" i="1" s="1"/>
  <c r="N110" i="1"/>
  <c r="P109" i="1"/>
  <c r="Q109" i="1" s="1"/>
  <c r="R109" i="1" s="1"/>
  <c r="X108" i="1"/>
  <c r="T108" i="1"/>
  <c r="P108" i="1"/>
  <c r="Q108" i="1" s="1"/>
  <c r="N108" i="1"/>
  <c r="X107" i="1"/>
  <c r="X106" i="1"/>
  <c r="T106" i="1"/>
  <c r="R106" i="1"/>
  <c r="X105" i="1"/>
  <c r="T105" i="1"/>
  <c r="U105" i="1" s="1"/>
  <c r="P105" i="1"/>
  <c r="X101" i="1"/>
  <c r="T101" i="1"/>
  <c r="U101" i="1" s="1"/>
  <c r="V101" i="1" s="1"/>
  <c r="W101" i="1" s="1"/>
  <c r="P101" i="1"/>
  <c r="Q101" i="1" s="1"/>
  <c r="R101" i="1" s="1"/>
  <c r="W100" i="1"/>
  <c r="X99" i="1"/>
  <c r="T99" i="1"/>
  <c r="U99" i="1" s="1"/>
  <c r="V99" i="1" s="1"/>
  <c r="W99" i="1" s="1"/>
  <c r="P99" i="1"/>
  <c r="Q99" i="1" s="1"/>
  <c r="R99" i="1" s="1"/>
  <c r="W98" i="1"/>
  <c r="T94" i="1"/>
  <c r="U94" i="1" s="1"/>
  <c r="V94" i="1" s="1"/>
  <c r="O94" i="1"/>
  <c r="P94" i="1" s="1"/>
  <c r="Q94" i="1" s="1"/>
  <c r="R94" i="1" s="1"/>
  <c r="W88" i="1"/>
  <c r="W87" i="1"/>
  <c r="W86" i="1"/>
  <c r="U80" i="1"/>
  <c r="V80" i="1" s="1"/>
  <c r="P80" i="1"/>
  <c r="Q80" i="1" s="1"/>
  <c r="R80" i="1" s="1"/>
  <c r="L80" i="1"/>
  <c r="M80" i="1" s="1"/>
  <c r="N80" i="1" s="1"/>
  <c r="U79" i="1"/>
  <c r="V79" i="1" s="1"/>
  <c r="P79" i="1"/>
  <c r="Q79" i="1" s="1"/>
  <c r="R79" i="1" s="1"/>
  <c r="L79" i="1"/>
  <c r="M79" i="1" s="1"/>
  <c r="N79" i="1" s="1"/>
  <c r="U78" i="1"/>
  <c r="V78" i="1" s="1"/>
  <c r="P78" i="1"/>
  <c r="Q78" i="1" s="1"/>
  <c r="R78" i="1" s="1"/>
  <c r="L78" i="1"/>
  <c r="M78" i="1" s="1"/>
  <c r="N78" i="1" s="1"/>
  <c r="U77" i="1"/>
  <c r="V77" i="1" s="1"/>
  <c r="P77" i="1"/>
  <c r="Q77" i="1" s="1"/>
  <c r="R77" i="1" s="1"/>
  <c r="L77" i="1"/>
  <c r="M77" i="1" s="1"/>
  <c r="N77" i="1" s="1"/>
  <c r="T70" i="1"/>
  <c r="U70" i="1" s="1"/>
  <c r="V70" i="1" s="1"/>
  <c r="P70" i="1"/>
  <c r="Q70" i="1" s="1"/>
  <c r="R70" i="1" s="1"/>
  <c r="L70" i="1"/>
  <c r="M70" i="1" s="1"/>
  <c r="N70" i="1" s="1"/>
  <c r="T69" i="1"/>
  <c r="U69" i="1" s="1"/>
  <c r="V69" i="1" s="1"/>
  <c r="P69" i="1"/>
  <c r="Q69" i="1" s="1"/>
  <c r="R69" i="1" s="1"/>
  <c r="L69" i="1"/>
  <c r="M69" i="1" s="1"/>
  <c r="N69" i="1" s="1"/>
  <c r="T68" i="1"/>
  <c r="U68" i="1" s="1"/>
  <c r="V68" i="1" s="1"/>
  <c r="P68" i="1"/>
  <c r="Q68" i="1" s="1"/>
  <c r="R68" i="1" s="1"/>
  <c r="L68" i="1"/>
  <c r="M68" i="1" s="1"/>
  <c r="N68" i="1" s="1"/>
  <c r="T67" i="1"/>
  <c r="U67" i="1" s="1"/>
  <c r="V67" i="1" s="1"/>
  <c r="P67" i="1"/>
  <c r="Q67" i="1" s="1"/>
  <c r="R67" i="1" s="1"/>
  <c r="L67" i="1"/>
  <c r="M67" i="1" s="1"/>
  <c r="N67" i="1" s="1"/>
  <c r="T66" i="1"/>
  <c r="U66" i="1" s="1"/>
  <c r="V66" i="1" s="1"/>
  <c r="P66" i="1"/>
  <c r="Q66" i="1" s="1"/>
  <c r="R66" i="1" s="1"/>
  <c r="L66" i="1"/>
  <c r="M66" i="1" s="1"/>
  <c r="N66" i="1" s="1"/>
  <c r="T65" i="1"/>
  <c r="U65" i="1" s="1"/>
  <c r="V65" i="1" s="1"/>
  <c r="P65" i="1"/>
  <c r="Q65" i="1" s="1"/>
  <c r="R65" i="1" s="1"/>
  <c r="L65" i="1"/>
  <c r="M65" i="1" s="1"/>
  <c r="N65" i="1" s="1"/>
  <c r="T64" i="1"/>
  <c r="U64" i="1" s="1"/>
  <c r="V64" i="1" s="1"/>
  <c r="R64" i="1"/>
  <c r="L64" i="1"/>
  <c r="M64" i="1" s="1"/>
  <c r="N64" i="1" s="1"/>
  <c r="X46" i="1"/>
  <c r="T46" i="1"/>
  <c r="U46" i="1" s="1"/>
  <c r="V46" i="1" s="1"/>
  <c r="P46" i="1"/>
  <c r="Q46" i="1" s="1"/>
  <c r="R46" i="1" s="1"/>
  <c r="X45" i="1"/>
  <c r="T45" i="1"/>
  <c r="U45" i="1" s="1"/>
  <c r="V45" i="1" s="1"/>
  <c r="P45" i="1"/>
  <c r="Q45" i="1" s="1"/>
  <c r="R45" i="1" s="1"/>
  <c r="X43" i="1"/>
  <c r="T43" i="1"/>
  <c r="U43" i="1" s="1"/>
  <c r="V43" i="1" s="1"/>
  <c r="P43" i="1"/>
  <c r="Q43" i="1" s="1"/>
  <c r="R43" i="1" s="1"/>
  <c r="X42" i="1"/>
  <c r="T42" i="1"/>
  <c r="U42" i="1" s="1"/>
  <c r="V42" i="1" s="1"/>
  <c r="P42" i="1"/>
  <c r="Q42" i="1" s="1"/>
  <c r="R42" i="1" s="1"/>
  <c r="X21" i="1"/>
  <c r="T21" i="1"/>
  <c r="U21" i="1" s="1"/>
  <c r="V21" i="1" s="1"/>
  <c r="P21" i="1"/>
  <c r="Q21" i="1" s="1"/>
  <c r="R21" i="1" s="1"/>
  <c r="L21" i="1"/>
  <c r="M21" i="1" s="1"/>
  <c r="N21" i="1" s="1"/>
  <c r="H21" i="1"/>
  <c r="I21" i="1" s="1"/>
  <c r="J21" i="1" s="1"/>
  <c r="D21" i="1"/>
  <c r="E21" i="1" s="1"/>
  <c r="F21" i="1" s="1"/>
  <c r="X20" i="1"/>
  <c r="T20" i="1"/>
  <c r="U20" i="1" s="1"/>
  <c r="V20" i="1" s="1"/>
  <c r="P20" i="1"/>
  <c r="Q20" i="1" s="1"/>
  <c r="R20" i="1" s="1"/>
  <c r="L20" i="1"/>
  <c r="M20" i="1" s="1"/>
  <c r="N20" i="1" s="1"/>
  <c r="H20" i="1"/>
  <c r="I20" i="1" s="1"/>
  <c r="J20" i="1" s="1"/>
  <c r="D20" i="1"/>
  <c r="E20" i="1" s="1"/>
  <c r="F20" i="1" s="1"/>
  <c r="V17" i="1"/>
  <c r="R17" i="1"/>
  <c r="N17" i="1"/>
  <c r="J17" i="1"/>
  <c r="F17" i="1"/>
  <c r="V12" i="1"/>
  <c r="W14" i="1" s="1"/>
  <c r="R12" i="1"/>
  <c r="S14" i="1" s="1"/>
  <c r="N12" i="1"/>
  <c r="O14" i="1" s="1"/>
  <c r="J12" i="1"/>
  <c r="K14" i="1" s="1"/>
  <c r="F12" i="1"/>
  <c r="G14" i="1" s="1"/>
  <c r="V8" i="1"/>
  <c r="R8" i="1"/>
  <c r="N8" i="1"/>
  <c r="J8" i="1"/>
  <c r="F8" i="1"/>
  <c r="V6" i="1"/>
  <c r="U60" i="1" s="1"/>
  <c r="R6" i="1"/>
  <c r="N6" i="1"/>
  <c r="M60" i="1" s="1"/>
  <c r="J6" i="1"/>
  <c r="F6" i="1"/>
  <c r="E60" i="1" s="1"/>
  <c r="O48" i="1" l="1"/>
  <c r="C72" i="1"/>
  <c r="C73" i="1" s="1"/>
  <c r="V47" i="1"/>
  <c r="K72" i="1"/>
  <c r="K73" i="1" s="1"/>
  <c r="I60" i="1"/>
  <c r="Q60" i="1"/>
  <c r="W72" i="1"/>
  <c r="W32" i="1" s="1"/>
  <c r="L44" i="1"/>
  <c r="L49" i="1" s="1"/>
  <c r="H33" i="1"/>
  <c r="W7" i="1"/>
  <c r="H47" i="1"/>
  <c r="G48" i="1"/>
  <c r="O7" i="1"/>
  <c r="S72" i="1"/>
  <c r="S32" i="1" s="1"/>
  <c r="G7" i="1"/>
  <c r="R44" i="1"/>
  <c r="R54" i="1" s="1"/>
  <c r="M42" i="1"/>
  <c r="M44" i="1" s="1"/>
  <c r="K7" i="1"/>
  <c r="V44" i="1"/>
  <c r="X30" i="1"/>
  <c r="S7" i="1"/>
  <c r="M144" i="1"/>
  <c r="N144" i="1" s="1"/>
  <c r="N145" i="1" s="1"/>
  <c r="D145" i="1"/>
  <c r="E44" i="1"/>
  <c r="E49" i="1" s="1"/>
  <c r="O72" i="1"/>
  <c r="O32" i="1" s="1"/>
  <c r="G72" i="1"/>
  <c r="G32" i="1" s="1"/>
  <c r="F47" i="1"/>
  <c r="C49" i="1"/>
  <c r="L47" i="1"/>
  <c r="M47" i="1"/>
  <c r="N46" i="1"/>
  <c r="N47" i="1" s="1"/>
  <c r="R47" i="1"/>
  <c r="I46" i="1"/>
  <c r="I44" i="1"/>
  <c r="I53" i="1" s="1"/>
  <c r="S48" i="1"/>
  <c r="X116" i="1"/>
  <c r="X117" i="1" s="1"/>
  <c r="K48" i="1"/>
  <c r="J9" i="1"/>
  <c r="H145" i="1"/>
  <c r="R9" i="1"/>
  <c r="S118" i="1"/>
  <c r="S119" i="1"/>
  <c r="R71" i="1"/>
  <c r="R72" i="1" s="1"/>
  <c r="R73" i="1" s="1"/>
  <c r="T44" i="1"/>
  <c r="T49" i="1" s="1"/>
  <c r="P44" i="1"/>
  <c r="H44" i="1"/>
  <c r="H49" i="1" s="1"/>
  <c r="D44" i="1"/>
  <c r="D49" i="1" s="1"/>
  <c r="U47" i="1"/>
  <c r="Q47" i="1"/>
  <c r="E47" i="1"/>
  <c r="X53" i="1"/>
  <c r="N9" i="1"/>
  <c r="F9" i="1"/>
  <c r="V9" i="1"/>
  <c r="L116" i="1"/>
  <c r="L117" i="1" s="1"/>
  <c r="D30" i="1"/>
  <c r="T47" i="1"/>
  <c r="P47" i="1"/>
  <c r="D47" i="1"/>
  <c r="W53" i="1"/>
  <c r="S53" i="1"/>
  <c r="O53" i="1"/>
  <c r="K53" i="1"/>
  <c r="G53" i="1"/>
  <c r="C54" i="1"/>
  <c r="K118" i="1"/>
  <c r="K119" i="1"/>
  <c r="C48" i="1"/>
  <c r="X54" i="1"/>
  <c r="O118" i="1"/>
  <c r="O119" i="1"/>
  <c r="U44" i="1"/>
  <c r="U49" i="1" s="1"/>
  <c r="Q44" i="1"/>
  <c r="Q49" i="1" s="1"/>
  <c r="W54" i="1"/>
  <c r="S54" i="1"/>
  <c r="O54" i="1"/>
  <c r="K54" i="1"/>
  <c r="G54" i="1"/>
  <c r="W49" i="1"/>
  <c r="S49" i="1"/>
  <c r="O49" i="1"/>
  <c r="K49" i="1"/>
  <c r="G49" i="1"/>
  <c r="W48" i="1"/>
  <c r="X48" i="1" s="1"/>
  <c r="E33" i="1"/>
  <c r="D33" i="1"/>
  <c r="X32" i="1"/>
  <c r="X33" i="1"/>
  <c r="T33" i="1"/>
  <c r="P33" i="1"/>
  <c r="L33" i="1"/>
  <c r="U33" i="1"/>
  <c r="Q33" i="1"/>
  <c r="M33" i="1"/>
  <c r="J71" i="1"/>
  <c r="H72" i="1"/>
  <c r="H73" i="1" s="1"/>
  <c r="H30" i="1"/>
  <c r="N72" i="1"/>
  <c r="N73" i="1" s="1"/>
  <c r="V72" i="1"/>
  <c r="V73" i="1" s="1"/>
  <c r="D72" i="1"/>
  <c r="D73" i="1" s="1"/>
  <c r="H116" i="1"/>
  <c r="H117" i="1" s="1"/>
  <c r="M30" i="1"/>
  <c r="N31" i="1"/>
  <c r="Q30" i="1"/>
  <c r="R31" i="1"/>
  <c r="U30" i="1"/>
  <c r="V31" i="1"/>
  <c r="T30" i="1"/>
  <c r="P30" i="1"/>
  <c r="L30" i="1"/>
  <c r="I31" i="1"/>
  <c r="E30" i="1"/>
  <c r="F144" i="1"/>
  <c r="F145" i="1" s="1"/>
  <c r="D116" i="1"/>
  <c r="D117" i="1" s="1"/>
  <c r="F42" i="1"/>
  <c r="E116" i="1"/>
  <c r="E117" i="1" s="1"/>
  <c r="F29" i="1"/>
  <c r="J101" i="1"/>
  <c r="V7" i="1"/>
  <c r="R7" i="1"/>
  <c r="N7" i="1"/>
  <c r="J7" i="1"/>
  <c r="F7" i="1"/>
  <c r="V14" i="1"/>
  <c r="R14" i="1"/>
  <c r="N14" i="1"/>
  <c r="J14" i="1"/>
  <c r="F14" i="1"/>
  <c r="T145" i="1"/>
  <c r="T72" i="1"/>
  <c r="T73" i="1" s="1"/>
  <c r="P72" i="1"/>
  <c r="P73" i="1" s="1"/>
  <c r="L72" i="1"/>
  <c r="L32" i="1" s="1"/>
  <c r="Q116" i="1"/>
  <c r="U72" i="1"/>
  <c r="U73" i="1" s="1"/>
  <c r="Q72" i="1"/>
  <c r="Q73" i="1" s="1"/>
  <c r="M72" i="1"/>
  <c r="M32" i="1" s="1"/>
  <c r="T116" i="1"/>
  <c r="T117" i="1" s="1"/>
  <c r="P116" i="1"/>
  <c r="P117" i="1" s="1"/>
  <c r="F64" i="1"/>
  <c r="F72" i="1" s="1"/>
  <c r="F32" i="1" s="1"/>
  <c r="E72" i="1"/>
  <c r="E73" i="1" s="1"/>
  <c r="J69" i="1"/>
  <c r="I72" i="1"/>
  <c r="I73" i="1" s="1"/>
  <c r="I145" i="1"/>
  <c r="J144" i="1"/>
  <c r="J145" i="1" s="1"/>
  <c r="I116" i="1"/>
  <c r="I117" i="1" s="1"/>
  <c r="J42" i="1"/>
  <c r="G118" i="1"/>
  <c r="N113" i="1"/>
  <c r="W117" i="1"/>
  <c r="Q144" i="1"/>
  <c r="Q145" i="1" s="1"/>
  <c r="C118" i="1"/>
  <c r="V144" i="1"/>
  <c r="V145" i="1" s="1"/>
  <c r="U112" i="1"/>
  <c r="V112" i="1" s="1"/>
  <c r="Q105" i="1"/>
  <c r="V105" i="1"/>
  <c r="V106" i="1"/>
  <c r="R108" i="1"/>
  <c r="R116" i="1" s="1"/>
  <c r="L53" i="1" l="1"/>
  <c r="W73" i="1"/>
  <c r="K32" i="1"/>
  <c r="C32" i="1"/>
  <c r="V48" i="1"/>
  <c r="V54" i="1"/>
  <c r="I49" i="1"/>
  <c r="L54" i="1"/>
  <c r="R49" i="1"/>
  <c r="V53" i="1"/>
  <c r="L48" i="1"/>
  <c r="P48" i="1"/>
  <c r="R53" i="1"/>
  <c r="J72" i="1"/>
  <c r="J73" i="1" s="1"/>
  <c r="G73" i="1"/>
  <c r="M116" i="1"/>
  <c r="M117" i="1" s="1"/>
  <c r="M118" i="1" s="1"/>
  <c r="E53" i="1"/>
  <c r="P49" i="1"/>
  <c r="E54" i="1"/>
  <c r="N42" i="1"/>
  <c r="N44" i="1" s="1"/>
  <c r="N49" i="1" s="1"/>
  <c r="I54" i="1"/>
  <c r="E48" i="1"/>
  <c r="R48" i="1"/>
  <c r="T48" i="1"/>
  <c r="M48" i="1"/>
  <c r="M145" i="1"/>
  <c r="S73" i="1"/>
  <c r="O73" i="1"/>
  <c r="V49" i="1"/>
  <c r="H48" i="1"/>
  <c r="I47" i="1"/>
  <c r="I48" i="1" s="1"/>
  <c r="J46" i="1"/>
  <c r="J47" i="1" s="1"/>
  <c r="M49" i="1"/>
  <c r="M53" i="1"/>
  <c r="M54" i="1"/>
  <c r="T118" i="1"/>
  <c r="T119" i="1"/>
  <c r="H118" i="1"/>
  <c r="H119" i="1"/>
  <c r="E32" i="1"/>
  <c r="P32" i="1"/>
  <c r="Q32" i="1"/>
  <c r="U32" i="1"/>
  <c r="T54" i="1"/>
  <c r="T53" i="1"/>
  <c r="L73" i="1"/>
  <c r="X118" i="1"/>
  <c r="X119" i="1"/>
  <c r="P118" i="1"/>
  <c r="P119" i="1"/>
  <c r="L118" i="1"/>
  <c r="L119" i="1"/>
  <c r="E118" i="1"/>
  <c r="E119" i="1"/>
  <c r="D32" i="1"/>
  <c r="T32" i="1"/>
  <c r="Q48" i="1"/>
  <c r="Q53" i="1"/>
  <c r="Q54" i="1"/>
  <c r="M73" i="1"/>
  <c r="D48" i="1"/>
  <c r="D54" i="1"/>
  <c r="D53" i="1"/>
  <c r="F73" i="1"/>
  <c r="I118" i="1"/>
  <c r="I119" i="1"/>
  <c r="W118" i="1"/>
  <c r="W119" i="1"/>
  <c r="J116" i="1"/>
  <c r="J117" i="1" s="1"/>
  <c r="J44" i="1"/>
  <c r="F116" i="1"/>
  <c r="F117" i="1" s="1"/>
  <c r="F44" i="1"/>
  <c r="I32" i="1"/>
  <c r="H32" i="1"/>
  <c r="U48" i="1"/>
  <c r="U53" i="1"/>
  <c r="U54" i="1"/>
  <c r="H54" i="1"/>
  <c r="H53" i="1"/>
  <c r="D118" i="1"/>
  <c r="D119" i="1"/>
  <c r="P54" i="1"/>
  <c r="P53" i="1"/>
  <c r="F30" i="1"/>
  <c r="F33" i="1"/>
  <c r="V30" i="1"/>
  <c r="V33" i="1"/>
  <c r="V32" i="1"/>
  <c r="R30" i="1"/>
  <c r="R33" i="1"/>
  <c r="R32" i="1"/>
  <c r="N30" i="1"/>
  <c r="N33" i="1"/>
  <c r="N32" i="1"/>
  <c r="I33" i="1"/>
  <c r="I30" i="1"/>
  <c r="J31" i="1"/>
  <c r="V116" i="1"/>
  <c r="V117" i="1" s="1"/>
  <c r="U116" i="1"/>
  <c r="U117" i="1" s="1"/>
  <c r="U119" i="1" s="1"/>
  <c r="R144" i="1"/>
  <c r="R145" i="1" s="1"/>
  <c r="Q117" i="1"/>
  <c r="R105" i="1"/>
  <c r="R117" i="1" s="1"/>
  <c r="M119" i="1" l="1"/>
  <c r="N116" i="1"/>
  <c r="N53" i="1"/>
  <c r="N54" i="1"/>
  <c r="N48" i="1"/>
  <c r="F118" i="1"/>
  <c r="F119" i="1"/>
  <c r="R118" i="1"/>
  <c r="R119" i="1"/>
  <c r="Q118" i="1"/>
  <c r="Q119" i="1"/>
  <c r="J53" i="1"/>
  <c r="J54" i="1"/>
  <c r="J48" i="1"/>
  <c r="J49" i="1"/>
  <c r="J118" i="1"/>
  <c r="J119" i="1"/>
  <c r="V118" i="1"/>
  <c r="V119" i="1"/>
  <c r="F48" i="1"/>
  <c r="F53" i="1"/>
  <c r="F54" i="1"/>
  <c r="F49" i="1"/>
  <c r="J30" i="1"/>
  <c r="J33" i="1"/>
  <c r="J32" i="1"/>
  <c r="U118" i="1"/>
  <c r="D90" i="1"/>
  <c r="E90" i="1"/>
  <c r="F90" i="1"/>
  <c r="G90" i="1"/>
  <c r="H90" i="1"/>
  <c r="I90" i="1"/>
  <c r="J90" i="1"/>
  <c r="K90" i="1"/>
  <c r="L90" i="1"/>
  <c r="M90" i="1"/>
  <c r="N90" i="1"/>
  <c r="O90" i="1"/>
  <c r="P90" i="1"/>
  <c r="Q90" i="1"/>
  <c r="R90" i="1"/>
  <c r="S90" i="1"/>
  <c r="T90" i="1"/>
  <c r="U90" i="1"/>
  <c r="V90" i="1"/>
  <c r="W90" i="1"/>
  <c r="C90" i="1"/>
  <c r="D59" i="1"/>
  <c r="E59" i="1"/>
  <c r="F59" i="1"/>
  <c r="G59" i="1"/>
  <c r="H59" i="1"/>
  <c r="I59" i="1"/>
  <c r="J59" i="1"/>
  <c r="K59" i="1"/>
  <c r="L59" i="1"/>
  <c r="M59" i="1"/>
  <c r="N59" i="1"/>
  <c r="O59" i="1"/>
  <c r="P59" i="1"/>
  <c r="Q59" i="1"/>
  <c r="R59" i="1"/>
  <c r="S59" i="1"/>
  <c r="T59" i="1"/>
  <c r="U59" i="1"/>
  <c r="V59" i="1"/>
  <c r="W59" i="1"/>
  <c r="C59" i="1"/>
  <c r="X90" i="1"/>
  <c r="D137" i="1"/>
  <c r="E137" i="1"/>
  <c r="F137" i="1"/>
  <c r="G137" i="1"/>
  <c r="H137" i="1"/>
  <c r="I137" i="1"/>
  <c r="K139" i="1"/>
  <c r="M139" i="1"/>
  <c r="O139" i="1"/>
  <c r="Q139" i="1"/>
  <c r="S139" i="1"/>
  <c r="W139" i="1"/>
  <c r="C137" i="1"/>
  <c r="D138" i="1"/>
  <c r="E138" i="1"/>
  <c r="F138" i="1"/>
  <c r="G138" i="1"/>
  <c r="H138" i="1"/>
  <c r="I138" i="1"/>
  <c r="J138" i="1"/>
  <c r="K138" i="1"/>
  <c r="L138" i="1"/>
  <c r="M138" i="1"/>
  <c r="N138" i="1"/>
  <c r="O138" i="1"/>
  <c r="P138" i="1"/>
  <c r="Q138" i="1"/>
  <c r="R138" i="1"/>
  <c r="S138" i="1"/>
  <c r="T138" i="1"/>
  <c r="U138" i="1"/>
  <c r="V138" i="1"/>
  <c r="W138" i="1"/>
  <c r="C138" i="1"/>
  <c r="X138" i="1"/>
  <c r="X139" i="1"/>
  <c r="X59" i="1"/>
  <c r="X131" i="1"/>
  <c r="T131" i="1"/>
  <c r="W81" i="1"/>
  <c r="W82" i="1" s="1"/>
  <c r="U81" i="1"/>
  <c r="U82" i="1" s="1"/>
  <c r="S81" i="1"/>
  <c r="S82" i="1" s="1"/>
  <c r="R81" i="1"/>
  <c r="R82" i="1" s="1"/>
  <c r="Q81" i="1"/>
  <c r="Q82" i="1" s="1"/>
  <c r="P81" i="1"/>
  <c r="P82" i="1" s="1"/>
  <c r="O81" i="1"/>
  <c r="O82" i="1" s="1"/>
  <c r="N81" i="1"/>
  <c r="N82" i="1" s="1"/>
  <c r="M81" i="1"/>
  <c r="M82" i="1" s="1"/>
  <c r="L81" i="1"/>
  <c r="L82" i="1" s="1"/>
  <c r="K81" i="1"/>
  <c r="K82" i="1" s="1"/>
  <c r="J81" i="1"/>
  <c r="J82" i="1" s="1"/>
  <c r="I81" i="1"/>
  <c r="I82" i="1" s="1"/>
  <c r="H81" i="1"/>
  <c r="H82" i="1" s="1"/>
  <c r="G81" i="1"/>
  <c r="G82" i="1" s="1"/>
  <c r="F81" i="1"/>
  <c r="F82" i="1" s="1"/>
  <c r="E81" i="1"/>
  <c r="E82" i="1" s="1"/>
  <c r="D81" i="1"/>
  <c r="D82" i="1" s="1"/>
  <c r="X81" i="1"/>
  <c r="X82" i="1" s="1"/>
  <c r="T81" i="1"/>
  <c r="T82" i="1" s="1"/>
  <c r="W22" i="1"/>
  <c r="U22" i="1"/>
  <c r="S22" i="1"/>
  <c r="Q22" i="1"/>
  <c r="P22" i="1"/>
  <c r="O22" i="1"/>
  <c r="M22" i="1"/>
  <c r="L22" i="1"/>
  <c r="K22" i="1"/>
  <c r="J22" i="1"/>
  <c r="I22" i="1"/>
  <c r="H22" i="1"/>
  <c r="G22" i="1"/>
  <c r="F22" i="1"/>
  <c r="E22" i="1"/>
  <c r="D22" i="1"/>
  <c r="C22" i="1"/>
  <c r="X22" i="1"/>
  <c r="T22" i="1"/>
  <c r="R22" i="1"/>
  <c r="N22" i="1"/>
  <c r="X15" i="1"/>
  <c r="W15" i="1"/>
  <c r="W16" i="1" s="1"/>
  <c r="AF11" i="1" s="1"/>
  <c r="U15" i="1"/>
  <c r="U16" i="1" s="1"/>
  <c r="AU11" i="1" s="1"/>
  <c r="T15" i="1"/>
  <c r="T16" i="1" s="1"/>
  <c r="S15" i="1"/>
  <c r="S16" i="1" s="1"/>
  <c r="AE11" i="1" s="1"/>
  <c r="Q15" i="1"/>
  <c r="Q16" i="1" s="1"/>
  <c r="AT11" i="1" s="1"/>
  <c r="P15" i="1"/>
  <c r="P16" i="1" s="1"/>
  <c r="AL11" i="1" s="1"/>
  <c r="O15" i="1"/>
  <c r="O16" i="1" s="1"/>
  <c r="AD11" i="1" s="1"/>
  <c r="M15" i="1"/>
  <c r="M16" i="1" s="1"/>
  <c r="AS11" i="1" s="1"/>
  <c r="L15" i="1"/>
  <c r="L16" i="1" s="1"/>
  <c r="AK11" i="1" s="1"/>
  <c r="K15" i="1"/>
  <c r="K16" i="1" s="1"/>
  <c r="AC11" i="1" s="1"/>
  <c r="J15" i="1"/>
  <c r="J16" i="1" s="1"/>
  <c r="AY11" i="1" s="1"/>
  <c r="I15" i="1"/>
  <c r="I16" i="1" s="1"/>
  <c r="AR11" i="1" s="1"/>
  <c r="H15" i="1"/>
  <c r="H16" i="1" s="1"/>
  <c r="AJ11" i="1" s="1"/>
  <c r="G15" i="1"/>
  <c r="G16" i="1" s="1"/>
  <c r="AB11" i="1" s="1"/>
  <c r="F15" i="1"/>
  <c r="F16" i="1" s="1"/>
  <c r="AX11" i="1" s="1"/>
  <c r="E15" i="1"/>
  <c r="E16" i="1" s="1"/>
  <c r="AQ11" i="1" s="1"/>
  <c r="D15" i="1"/>
  <c r="D16" i="1" s="1"/>
  <c r="AI11" i="1" s="1"/>
  <c r="C15" i="1"/>
  <c r="C16" i="1" s="1"/>
  <c r="AA11" i="1" s="1"/>
  <c r="X13" i="1"/>
  <c r="W13" i="1"/>
  <c r="AF9" i="1" s="1"/>
  <c r="U13" i="1"/>
  <c r="AU9" i="1" s="1"/>
  <c r="T13" i="1"/>
  <c r="S13" i="1"/>
  <c r="AE9" i="1" s="1"/>
  <c r="Q13" i="1"/>
  <c r="AT9" i="1" s="1"/>
  <c r="P13" i="1"/>
  <c r="AL9" i="1" s="1"/>
  <c r="O13" i="1"/>
  <c r="AD9" i="1" s="1"/>
  <c r="M13" i="1"/>
  <c r="AS9" i="1" s="1"/>
  <c r="L13" i="1"/>
  <c r="AK9" i="1" s="1"/>
  <c r="K13" i="1"/>
  <c r="AC9" i="1" s="1"/>
  <c r="J13" i="1"/>
  <c r="AY9" i="1" s="1"/>
  <c r="I13" i="1"/>
  <c r="AR9" i="1" s="1"/>
  <c r="H13" i="1"/>
  <c r="AJ9" i="1" s="1"/>
  <c r="G13" i="1"/>
  <c r="AB9" i="1" s="1"/>
  <c r="F13" i="1"/>
  <c r="AX9" i="1" s="1"/>
  <c r="E13" i="1"/>
  <c r="AQ9" i="1" s="1"/>
  <c r="D13" i="1"/>
  <c r="AI9" i="1" s="1"/>
  <c r="C13" i="1"/>
  <c r="AA9" i="1" s="1"/>
  <c r="V13" i="1"/>
  <c r="BB9" i="1" s="1"/>
  <c r="R13" i="1"/>
  <c r="BA9" i="1" s="1"/>
  <c r="N13" i="1"/>
  <c r="AZ9" i="1" s="1"/>
  <c r="X10" i="1"/>
  <c r="X11" i="1" s="1"/>
  <c r="W10" i="1"/>
  <c r="W11" i="1" s="1"/>
  <c r="AF7" i="1" s="1"/>
  <c r="U10" i="1"/>
  <c r="U11" i="1" s="1"/>
  <c r="AU7" i="1" s="1"/>
  <c r="T10" i="1"/>
  <c r="T11" i="1" s="1"/>
  <c r="S10" i="1"/>
  <c r="S11" i="1" s="1"/>
  <c r="AE7" i="1" s="1"/>
  <c r="Q10" i="1"/>
  <c r="Q11" i="1" s="1"/>
  <c r="AT7" i="1" s="1"/>
  <c r="P10" i="1"/>
  <c r="P11" i="1" s="1"/>
  <c r="AL7" i="1" s="1"/>
  <c r="O10" i="1"/>
  <c r="O11" i="1" s="1"/>
  <c r="AD7" i="1" s="1"/>
  <c r="M10" i="1"/>
  <c r="M11" i="1" s="1"/>
  <c r="AS7" i="1" s="1"/>
  <c r="L10" i="1"/>
  <c r="L11" i="1" s="1"/>
  <c r="AK7" i="1" s="1"/>
  <c r="K10" i="1"/>
  <c r="K11" i="1" s="1"/>
  <c r="AC7" i="1" s="1"/>
  <c r="J10" i="1"/>
  <c r="J11" i="1" s="1"/>
  <c r="AY7" i="1" s="1"/>
  <c r="I10" i="1"/>
  <c r="I11" i="1" s="1"/>
  <c r="AR7" i="1" s="1"/>
  <c r="H10" i="1"/>
  <c r="H11" i="1" s="1"/>
  <c r="AJ7" i="1" s="1"/>
  <c r="G10" i="1"/>
  <c r="G11" i="1" s="1"/>
  <c r="AB7" i="1" s="1"/>
  <c r="F10" i="1"/>
  <c r="F11" i="1" s="1"/>
  <c r="AX7" i="1" s="1"/>
  <c r="E10" i="1"/>
  <c r="E11" i="1" s="1"/>
  <c r="AQ7" i="1" s="1"/>
  <c r="D10" i="1"/>
  <c r="D11" i="1" s="1"/>
  <c r="AI7" i="1" s="1"/>
  <c r="C10" i="1"/>
  <c r="C11" i="1" s="1"/>
  <c r="AA7" i="1" s="1"/>
  <c r="BB8" i="1"/>
  <c r="BA8" i="1"/>
  <c r="AZ8" i="1"/>
  <c r="AY8" i="1"/>
  <c r="AX8" i="1"/>
  <c r="AU8" i="1"/>
  <c r="AT8" i="1"/>
  <c r="AS8" i="1"/>
  <c r="AR8" i="1"/>
  <c r="AQ8" i="1"/>
  <c r="AN8" i="1"/>
  <c r="AM8" i="1"/>
  <c r="AL8" i="1"/>
  <c r="AK8" i="1"/>
  <c r="AJ8" i="1"/>
  <c r="AI8" i="1"/>
  <c r="AF8" i="1"/>
  <c r="AE8" i="1"/>
  <c r="AD8" i="1"/>
  <c r="AC8" i="1"/>
  <c r="AB8" i="1"/>
  <c r="AA8" i="1"/>
  <c r="V15" i="1"/>
  <c r="R15" i="1"/>
  <c r="N15" i="1"/>
  <c r="BB5" i="1"/>
  <c r="BA5" i="1"/>
  <c r="AZ5" i="1"/>
  <c r="AY5" i="1"/>
  <c r="AX5" i="1"/>
  <c r="AU5" i="1"/>
  <c r="AT5" i="1"/>
  <c r="AS5" i="1"/>
  <c r="AR5" i="1"/>
  <c r="AQ5" i="1"/>
  <c r="AN5" i="1"/>
  <c r="AM5" i="1"/>
  <c r="AL5" i="1"/>
  <c r="AK5" i="1"/>
  <c r="AJ5" i="1"/>
  <c r="AI5" i="1"/>
  <c r="AF5" i="1"/>
  <c r="AE5" i="1"/>
  <c r="AD5" i="1"/>
  <c r="AC5" i="1"/>
  <c r="AB5" i="1"/>
  <c r="AA5" i="1"/>
  <c r="BB3" i="1"/>
  <c r="BA3" i="1"/>
  <c r="AZ3" i="1"/>
  <c r="AY3" i="1"/>
  <c r="AX3" i="1"/>
  <c r="AU3" i="1"/>
  <c r="AT3" i="1"/>
  <c r="AS3" i="1"/>
  <c r="AR3" i="1"/>
  <c r="AQ3" i="1"/>
  <c r="AN3" i="1"/>
  <c r="AM3" i="1"/>
  <c r="AL3" i="1"/>
  <c r="AK3" i="1"/>
  <c r="AJ3" i="1"/>
  <c r="AI3" i="1"/>
  <c r="AF3" i="1"/>
  <c r="AE3" i="1"/>
  <c r="AD3" i="1"/>
  <c r="AC3" i="1"/>
  <c r="AB3" i="1"/>
  <c r="AA3" i="1"/>
  <c r="AJ6" i="1" l="1"/>
  <c r="AI10" i="1"/>
  <c r="AY6" i="1"/>
  <c r="AM6" i="1"/>
  <c r="AM7" i="1" s="1"/>
  <c r="AK10" i="1"/>
  <c r="AT6" i="1"/>
  <c r="N117" i="1"/>
  <c r="N119" i="1" s="1"/>
  <c r="N118" i="1"/>
  <c r="AJ10" i="1"/>
  <c r="D139" i="1"/>
  <c r="AI6" i="1"/>
  <c r="AM10" i="1"/>
  <c r="AM11" i="1" s="1"/>
  <c r="AT10" i="1"/>
  <c r="AZ4" i="1"/>
  <c r="AX6" i="1"/>
  <c r="AR10" i="1"/>
  <c r="AC10" i="1"/>
  <c r="AC6" i="1"/>
  <c r="AD6" i="1"/>
  <c r="AE10" i="1"/>
  <c r="AD10" i="1"/>
  <c r="AF6" i="1"/>
  <c r="AF10" i="1"/>
  <c r="BB4" i="1"/>
  <c r="AK6" i="1"/>
  <c r="AX10" i="1"/>
  <c r="AY10" i="1"/>
  <c r="X16" i="1"/>
  <c r="Q3" i="1"/>
  <c r="R3" i="1"/>
  <c r="AK4" i="1"/>
  <c r="AM4" i="1"/>
  <c r="AB4" i="1"/>
  <c r="AS4" i="1"/>
  <c r="AU4" i="1"/>
  <c r="E139" i="1"/>
  <c r="AN6" i="1"/>
  <c r="AN10" i="1" s="1"/>
  <c r="AN11" i="1" s="1"/>
  <c r="AN4" i="1"/>
  <c r="AD4" i="1"/>
  <c r="AF4" i="1"/>
  <c r="AJ4" i="1"/>
  <c r="AL4" i="1"/>
  <c r="AR4" i="1"/>
  <c r="AT4" i="1"/>
  <c r="AC4" i="1"/>
  <c r="AE4" i="1"/>
  <c r="AY4" i="1"/>
  <c r="BA4" i="1"/>
  <c r="I139" i="1"/>
  <c r="G139" i="1"/>
  <c r="AA6" i="1"/>
  <c r="AR6" i="1"/>
  <c r="AA10" i="1"/>
  <c r="D131" i="1"/>
  <c r="AE6" i="1"/>
  <c r="R131" i="1"/>
  <c r="U139" i="1"/>
  <c r="F131" i="1"/>
  <c r="H131" i="1"/>
  <c r="L131" i="1"/>
  <c r="N131" i="1"/>
  <c r="V139" i="1"/>
  <c r="T139" i="1"/>
  <c r="R139" i="1"/>
  <c r="P139" i="1"/>
  <c r="N139" i="1"/>
  <c r="L139" i="1"/>
  <c r="J139" i="1"/>
  <c r="H139" i="1"/>
  <c r="F139" i="1"/>
  <c r="P131" i="1"/>
  <c r="V131" i="1"/>
  <c r="AB6" i="1"/>
  <c r="AL6" i="1"/>
  <c r="AQ6" i="1"/>
  <c r="AS6" i="1"/>
  <c r="AU6" i="1"/>
  <c r="AB10" i="1"/>
  <c r="AL10" i="1"/>
  <c r="AQ10" i="1"/>
  <c r="AS10" i="1"/>
  <c r="AU10" i="1"/>
  <c r="J131" i="1"/>
  <c r="E131" i="1"/>
  <c r="G131" i="1"/>
  <c r="I131" i="1"/>
  <c r="K131" i="1"/>
  <c r="M131" i="1"/>
  <c r="O131" i="1"/>
  <c r="Q131" i="1"/>
  <c r="S131" i="1"/>
  <c r="U131" i="1"/>
  <c r="W131" i="1"/>
  <c r="AN9" i="1"/>
  <c r="AM9" i="1"/>
  <c r="R16" i="1"/>
  <c r="BA11" i="1" s="1"/>
  <c r="BA10" i="1"/>
  <c r="N16" i="1"/>
  <c r="AZ11" i="1" s="1"/>
  <c r="AZ10" i="1"/>
  <c r="V16" i="1"/>
  <c r="BB11" i="1" s="1"/>
  <c r="BB10" i="1"/>
  <c r="N10" i="1"/>
  <c r="R10" i="1"/>
  <c r="V10" i="1"/>
  <c r="V22" i="1"/>
  <c r="V81" i="1"/>
  <c r="V82" i="1" s="1"/>
  <c r="AN7" i="1" l="1"/>
  <c r="BA6" i="1"/>
  <c r="R11" i="1"/>
  <c r="BA7" i="1" s="1"/>
  <c r="V11" i="1"/>
  <c r="BB7" i="1" s="1"/>
  <c r="BB6" i="1"/>
  <c r="N11" i="1"/>
  <c r="AZ7" i="1" s="1"/>
  <c r="AZ6" i="1"/>
</calcChain>
</file>

<file path=xl/sharedStrings.xml><?xml version="1.0" encoding="utf-8"?>
<sst xmlns="http://schemas.openxmlformats.org/spreadsheetml/2006/main" count="509" uniqueCount="149">
  <si>
    <t>17.1q</t>
  </si>
  <si>
    <t>17.2q</t>
  </si>
  <si>
    <t>17.3q</t>
  </si>
  <si>
    <t>17.4q</t>
  </si>
  <si>
    <t>18.1q</t>
  </si>
  <si>
    <t>18.2q</t>
  </si>
  <si>
    <t>18.3q</t>
  </si>
  <si>
    <t>18.4q</t>
  </si>
  <si>
    <t>19.1q</t>
  </si>
  <si>
    <t>19.2q</t>
  </si>
  <si>
    <t>19.3q</t>
  </si>
  <si>
    <t>19.4q</t>
  </si>
  <si>
    <t>20.1q</t>
  </si>
  <si>
    <t>20.2q</t>
  </si>
  <si>
    <t>20.3q</t>
  </si>
  <si>
    <t>20.4q</t>
  </si>
  <si>
    <t>21.1q</t>
  </si>
  <si>
    <t>21.2q</t>
  </si>
  <si>
    <t>21.3q</t>
  </si>
  <si>
    <t>21.4q</t>
  </si>
  <si>
    <t>22.1q</t>
  </si>
  <si>
    <t>22.2q</t>
  </si>
  <si>
    <t>GPM</t>
  </si>
  <si>
    <t>GPM(%)</t>
  </si>
  <si>
    <t>OPM</t>
  </si>
  <si>
    <t>OPM(%)</t>
  </si>
  <si>
    <t>OCF</t>
  </si>
  <si>
    <t>CAPEX</t>
  </si>
  <si>
    <t>FCF</t>
  </si>
  <si>
    <t>Actuator</t>
    <phoneticPr fontId="3" type="noConversion"/>
  </si>
  <si>
    <t>QoQ</t>
    <phoneticPr fontId="3" type="noConversion"/>
  </si>
  <si>
    <t>YoY</t>
    <phoneticPr fontId="3" type="noConversion"/>
  </si>
  <si>
    <t>ASME</t>
    <phoneticPr fontId="3" type="noConversion"/>
  </si>
  <si>
    <t>API</t>
    <phoneticPr fontId="3" type="noConversion"/>
  </si>
  <si>
    <r>
      <rPr>
        <b/>
        <sz val="13"/>
        <color theme="1"/>
        <rFont val="돋움"/>
        <family val="3"/>
        <charset val="129"/>
      </rPr>
      <t>▣</t>
    </r>
    <r>
      <rPr>
        <b/>
        <sz val="13"/>
        <color theme="1"/>
        <rFont val="Arial Narrow"/>
        <family val="2"/>
      </rPr>
      <t xml:space="preserve"> </t>
    </r>
    <r>
      <rPr>
        <b/>
        <sz val="13"/>
        <color theme="1"/>
        <rFont val="돋움"/>
        <family val="3"/>
        <charset val="129"/>
      </rPr>
      <t>영풍정밀</t>
    </r>
    <phoneticPr fontId="3" type="noConversion"/>
  </si>
  <si>
    <r>
      <rPr>
        <sz val="10"/>
        <color theme="1"/>
        <rFont val="돋움"/>
        <family val="3"/>
        <charset val="129"/>
      </rPr>
      <t>매출액</t>
    </r>
    <phoneticPr fontId="3" type="noConversion"/>
  </si>
  <si>
    <r>
      <t>1</t>
    </r>
    <r>
      <rPr>
        <sz val="10"/>
        <color theme="1"/>
        <rFont val="돋움"/>
        <family val="3"/>
        <charset val="129"/>
      </rPr>
      <t>분기</t>
    </r>
  </si>
  <si>
    <r>
      <t>2</t>
    </r>
    <r>
      <rPr>
        <sz val="10"/>
        <color theme="1"/>
        <rFont val="돋움"/>
        <family val="3"/>
        <charset val="129"/>
      </rPr>
      <t>분기</t>
    </r>
  </si>
  <si>
    <r>
      <t>3</t>
    </r>
    <r>
      <rPr>
        <sz val="10"/>
        <color theme="1"/>
        <rFont val="돋움"/>
        <family val="3"/>
        <charset val="129"/>
      </rPr>
      <t>분기</t>
    </r>
  </si>
  <si>
    <r>
      <t>4</t>
    </r>
    <r>
      <rPr>
        <sz val="10"/>
        <color theme="1"/>
        <rFont val="돋움"/>
        <family val="3"/>
        <charset val="129"/>
      </rPr>
      <t>분기</t>
    </r>
  </si>
  <si>
    <r>
      <rPr>
        <sz val="10"/>
        <color theme="1"/>
        <rFont val="돋움"/>
        <family val="3"/>
        <charset val="129"/>
      </rPr>
      <t>영업이익</t>
    </r>
    <phoneticPr fontId="3" type="noConversion"/>
  </si>
  <si>
    <r>
      <rPr>
        <sz val="10"/>
        <color theme="1"/>
        <rFont val="돋움"/>
        <family val="3"/>
        <charset val="129"/>
      </rPr>
      <t>매출액</t>
    </r>
  </si>
  <si>
    <r>
      <t>&lt;&lt;</t>
    </r>
    <r>
      <rPr>
        <sz val="10"/>
        <color theme="1"/>
        <rFont val="돋움"/>
        <family val="3"/>
        <charset val="129"/>
      </rPr>
      <t>연결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재무제표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손익계산서</t>
    </r>
    <r>
      <rPr>
        <sz val="10"/>
        <color theme="1"/>
        <rFont val="Arial Narrow"/>
        <family val="2"/>
      </rPr>
      <t>&gt;&gt;</t>
    </r>
  </si>
  <si>
    <r>
      <rPr>
        <sz val="10"/>
        <color theme="1"/>
        <rFont val="돋움"/>
        <family val="3"/>
        <charset val="129"/>
      </rPr>
      <t>매출액증가율</t>
    </r>
    <phoneticPr fontId="3" type="noConversion"/>
  </si>
  <si>
    <r>
      <rPr>
        <sz val="10"/>
        <color theme="1"/>
        <rFont val="돋움"/>
        <family val="3"/>
        <charset val="129"/>
      </rPr>
      <t>구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분</t>
    </r>
  </si>
  <si>
    <r>
      <rPr>
        <sz val="10"/>
        <color theme="1"/>
        <rFont val="돋움"/>
        <family val="3"/>
        <charset val="129"/>
      </rPr>
      <t>매출원가</t>
    </r>
  </si>
  <si>
    <r>
      <rPr>
        <sz val="10"/>
        <color theme="1"/>
        <rFont val="돋움"/>
        <family val="3"/>
        <charset val="129"/>
      </rPr>
      <t>매출총이익</t>
    </r>
  </si>
  <si>
    <r>
      <t xml:space="preserve">   </t>
    </r>
    <r>
      <rPr>
        <sz val="10"/>
        <color theme="4"/>
        <rFont val="돋움"/>
        <family val="3"/>
        <charset val="129"/>
      </rPr>
      <t>매출액</t>
    </r>
    <r>
      <rPr>
        <sz val="10"/>
        <color theme="4"/>
        <rFont val="Arial Narrow"/>
        <family val="2"/>
      </rPr>
      <t xml:space="preserve"> </t>
    </r>
    <r>
      <rPr>
        <sz val="10"/>
        <color theme="4"/>
        <rFont val="돋움"/>
        <family val="3"/>
        <charset val="129"/>
      </rPr>
      <t>증가율</t>
    </r>
    <r>
      <rPr>
        <sz val="10"/>
        <color theme="4"/>
        <rFont val="Arial Narrow"/>
        <family val="2"/>
      </rPr>
      <t>(%)</t>
    </r>
    <phoneticPr fontId="3" type="noConversion"/>
  </si>
  <si>
    <r>
      <rPr>
        <sz val="10"/>
        <color theme="1"/>
        <rFont val="돋움"/>
        <family val="3"/>
        <charset val="129"/>
      </rPr>
      <t>판관비</t>
    </r>
  </si>
  <si>
    <r>
      <t xml:space="preserve"> </t>
    </r>
    <r>
      <rPr>
        <sz val="10"/>
        <color theme="1"/>
        <rFont val="돋움"/>
        <family val="3"/>
        <charset val="129"/>
      </rPr>
      <t>매출원가율</t>
    </r>
    <r>
      <rPr>
        <sz val="10"/>
        <color theme="1"/>
        <rFont val="Arial Narrow"/>
        <family val="2"/>
      </rPr>
      <t>(%)</t>
    </r>
    <phoneticPr fontId="3" type="noConversion"/>
  </si>
  <si>
    <r>
      <rPr>
        <sz val="10"/>
        <color theme="1"/>
        <rFont val="돋움"/>
        <family val="3"/>
        <charset val="129"/>
      </rPr>
      <t>판관비율</t>
    </r>
  </si>
  <si>
    <r>
      <rPr>
        <sz val="10"/>
        <color theme="1"/>
        <rFont val="돋움"/>
        <family val="3"/>
        <charset val="129"/>
      </rPr>
      <t>영업이익</t>
    </r>
  </si>
  <si>
    <r>
      <t xml:space="preserve"> </t>
    </r>
    <r>
      <rPr>
        <sz val="10"/>
        <color theme="1"/>
        <rFont val="돋움"/>
        <family val="3"/>
        <charset val="129"/>
      </rPr>
      <t>판관비율</t>
    </r>
    <r>
      <rPr>
        <sz val="10"/>
        <color theme="1"/>
        <rFont val="Arial Narrow"/>
        <family val="2"/>
      </rPr>
      <t>(%)</t>
    </r>
    <phoneticPr fontId="3" type="noConversion"/>
  </si>
  <si>
    <r>
      <t xml:space="preserve">   </t>
    </r>
    <r>
      <rPr>
        <sz val="10"/>
        <color theme="4"/>
        <rFont val="돋움"/>
        <family val="3"/>
        <charset val="129"/>
      </rPr>
      <t>판관비</t>
    </r>
    <r>
      <rPr>
        <sz val="10"/>
        <color theme="4"/>
        <rFont val="Arial Narrow"/>
        <family val="2"/>
      </rPr>
      <t xml:space="preserve"> </t>
    </r>
    <r>
      <rPr>
        <sz val="10"/>
        <color theme="4"/>
        <rFont val="돋움"/>
        <family val="3"/>
        <charset val="129"/>
      </rPr>
      <t>증가율</t>
    </r>
    <r>
      <rPr>
        <sz val="10"/>
        <color theme="4"/>
        <rFont val="Arial Narrow"/>
        <family val="2"/>
      </rPr>
      <t>(%)</t>
    </r>
    <phoneticPr fontId="3" type="noConversion"/>
  </si>
  <si>
    <r>
      <rPr>
        <sz val="10"/>
        <color theme="1"/>
        <rFont val="돋움"/>
        <family val="3"/>
        <charset val="129"/>
      </rPr>
      <t>당기순이익</t>
    </r>
    <phoneticPr fontId="3" type="noConversion"/>
  </si>
  <si>
    <r>
      <t>&lt;&lt;</t>
    </r>
    <r>
      <rPr>
        <sz val="10"/>
        <color theme="1"/>
        <rFont val="돋움"/>
        <family val="3"/>
        <charset val="129"/>
      </rPr>
      <t>연결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재무제표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현금흐름표</t>
    </r>
    <r>
      <rPr>
        <sz val="10"/>
        <color theme="1"/>
        <rFont val="Arial Narrow"/>
        <family val="2"/>
      </rPr>
      <t>&gt;&gt;</t>
    </r>
  </si>
  <si>
    <r>
      <t xml:space="preserve">OCF (Operating Activity Cash Flow) : </t>
    </r>
    <r>
      <rPr>
        <sz val="10"/>
        <color rgb="FF002060"/>
        <rFont val="돋움"/>
        <family val="3"/>
        <charset val="129"/>
      </rPr>
      <t>영업활동현금흐름</t>
    </r>
  </si>
  <si>
    <r>
      <t xml:space="preserve">CAPEX (Capital Expenditure) : </t>
    </r>
    <r>
      <rPr>
        <sz val="10"/>
        <color rgb="FF002060"/>
        <rFont val="돋움"/>
        <family val="3"/>
        <charset val="129"/>
      </rPr>
      <t>자본적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돋움"/>
        <family val="3"/>
        <charset val="129"/>
      </rPr>
      <t>지출</t>
    </r>
    <r>
      <rPr>
        <sz val="10"/>
        <color rgb="FF002060"/>
        <rFont val="Arial Narrow"/>
        <family val="2"/>
      </rPr>
      <t xml:space="preserve">, </t>
    </r>
    <r>
      <rPr>
        <sz val="10"/>
        <color rgb="FF002060"/>
        <rFont val="돋움"/>
        <family val="3"/>
        <charset val="129"/>
      </rPr>
      <t>유</t>
    </r>
    <r>
      <rPr>
        <sz val="10"/>
        <color rgb="FF002060"/>
        <rFont val="Arial Narrow"/>
        <family val="2"/>
      </rPr>
      <t>.</t>
    </r>
    <r>
      <rPr>
        <sz val="10"/>
        <color rgb="FF002060"/>
        <rFont val="돋움"/>
        <family val="3"/>
        <charset val="129"/>
      </rPr>
      <t>무형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돋움"/>
        <family val="3"/>
        <charset val="129"/>
      </rPr>
      <t>설비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돋움"/>
        <family val="3"/>
        <charset val="129"/>
      </rPr>
      <t>투자</t>
    </r>
  </si>
  <si>
    <r>
      <t xml:space="preserve">FCF (Free Cash Flow): </t>
    </r>
    <r>
      <rPr>
        <sz val="10"/>
        <color rgb="FF002060"/>
        <rFont val="돋움"/>
        <family val="3"/>
        <charset val="129"/>
      </rPr>
      <t>잉여현금흐름</t>
    </r>
    <r>
      <rPr>
        <sz val="10"/>
        <color rgb="FF002060"/>
        <rFont val="Arial Narrow"/>
        <family val="2"/>
      </rPr>
      <t xml:space="preserve"> = OCF - CAPEX</t>
    </r>
  </si>
  <si>
    <r>
      <rPr>
        <sz val="10"/>
        <color rgb="FF002060"/>
        <rFont val="돋움"/>
        <family val="3"/>
        <charset val="129"/>
      </rPr>
      <t>원재료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돋움"/>
        <family val="3"/>
        <charset val="129"/>
      </rPr>
      <t>매입액</t>
    </r>
    <r>
      <rPr>
        <sz val="10"/>
        <color rgb="FF002060"/>
        <rFont val="Arial Narrow"/>
        <family val="2"/>
      </rPr>
      <t>(</t>
    </r>
    <r>
      <rPr>
        <sz val="10"/>
        <color rgb="FF002060"/>
        <rFont val="돋움"/>
        <family val="3"/>
        <charset val="129"/>
      </rPr>
      <t>백만원</t>
    </r>
    <r>
      <rPr>
        <sz val="10"/>
        <color rgb="FF002060"/>
        <rFont val="Arial Narrow"/>
        <family val="2"/>
      </rPr>
      <t>)</t>
    </r>
    <phoneticPr fontId="3" type="noConversion"/>
  </si>
  <si>
    <r>
      <rPr>
        <sz val="10"/>
        <color rgb="FF002060"/>
        <rFont val="돋움"/>
        <family val="3"/>
        <charset val="129"/>
      </rPr>
      <t>모터</t>
    </r>
    <phoneticPr fontId="3" type="noConversion"/>
  </si>
  <si>
    <r>
      <rPr>
        <sz val="10"/>
        <color rgb="FF002060"/>
        <rFont val="돋움"/>
        <family val="3"/>
        <charset val="129"/>
      </rPr>
      <t>기타</t>
    </r>
    <phoneticPr fontId="3" type="noConversion"/>
  </si>
  <si>
    <r>
      <rPr>
        <sz val="10"/>
        <color theme="1"/>
        <rFont val="돋움"/>
        <family val="3"/>
        <charset val="129"/>
      </rPr>
      <t>합계</t>
    </r>
    <phoneticPr fontId="3" type="noConversion"/>
  </si>
  <si>
    <r>
      <rPr>
        <sz val="10"/>
        <color rgb="FF002060"/>
        <rFont val="돋움"/>
        <family val="3"/>
        <charset val="129"/>
      </rPr>
      <t>원재료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돋움"/>
        <family val="3"/>
        <charset val="129"/>
      </rPr>
      <t>매입액</t>
    </r>
    <phoneticPr fontId="3" type="noConversion"/>
  </si>
  <si>
    <r>
      <rPr>
        <sz val="10"/>
        <color rgb="FF002060"/>
        <rFont val="돋움"/>
        <family val="3"/>
        <charset val="129"/>
      </rPr>
      <t>원재료매입</t>
    </r>
    <r>
      <rPr>
        <sz val="10"/>
        <color rgb="FF002060"/>
        <rFont val="Arial Narrow"/>
        <family val="2"/>
      </rPr>
      <t>/</t>
    </r>
    <r>
      <rPr>
        <sz val="10"/>
        <color rgb="FF002060"/>
        <rFont val="돋움"/>
        <family val="3"/>
        <charset val="129"/>
      </rPr>
      <t>매출액</t>
    </r>
    <r>
      <rPr>
        <sz val="10"/>
        <color rgb="FF002060"/>
        <rFont val="Arial Narrow"/>
        <family val="2"/>
      </rPr>
      <t>(%)</t>
    </r>
    <phoneticPr fontId="3" type="noConversion"/>
  </si>
  <si>
    <r>
      <rPr>
        <sz val="10"/>
        <color rgb="FF002060"/>
        <rFont val="돋움"/>
        <family val="3"/>
        <charset val="129"/>
      </rPr>
      <t>모터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돋움"/>
        <family val="3"/>
        <charset val="129"/>
      </rPr>
      <t>매입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돋움"/>
        <family val="3"/>
        <charset val="129"/>
      </rPr>
      <t>비중</t>
    </r>
    <r>
      <rPr>
        <sz val="10"/>
        <color rgb="FF002060"/>
        <rFont val="Arial Narrow"/>
        <family val="2"/>
      </rPr>
      <t>(%)</t>
    </r>
    <phoneticPr fontId="3" type="noConversion"/>
  </si>
  <si>
    <r>
      <rPr>
        <sz val="10"/>
        <color rgb="FF002060"/>
        <rFont val="돋움"/>
        <family val="3"/>
        <charset val="129"/>
      </rPr>
      <t>주요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돋움"/>
        <family val="3"/>
        <charset val="129"/>
      </rPr>
      <t>원재료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돋움"/>
        <family val="3"/>
        <charset val="129"/>
      </rPr>
      <t>가격변동추이</t>
    </r>
    <r>
      <rPr>
        <sz val="10"/>
        <color rgb="FF002060"/>
        <rFont val="Arial Narrow"/>
        <family val="2"/>
      </rPr>
      <t>(</t>
    </r>
    <r>
      <rPr>
        <sz val="10"/>
        <color rgb="FF002060"/>
        <rFont val="돋움"/>
        <family val="3"/>
        <charset val="129"/>
      </rPr>
      <t>천원</t>
    </r>
    <r>
      <rPr>
        <sz val="10"/>
        <color rgb="FF002060"/>
        <rFont val="Arial Narrow"/>
        <family val="2"/>
      </rPr>
      <t>)</t>
    </r>
    <phoneticPr fontId="3" type="noConversion"/>
  </si>
  <si>
    <r>
      <rPr>
        <sz val="10"/>
        <color theme="1"/>
        <rFont val="돋움"/>
        <family val="3"/>
        <charset val="129"/>
      </rPr>
      <t>유형별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매출액</t>
    </r>
    <r>
      <rPr>
        <sz val="10"/>
        <color theme="1"/>
        <rFont val="Arial Narrow"/>
        <family val="2"/>
      </rPr>
      <t>(</t>
    </r>
    <r>
      <rPr>
        <sz val="10"/>
        <color theme="1"/>
        <rFont val="돋움"/>
        <family val="3"/>
        <charset val="129"/>
      </rPr>
      <t>백만원</t>
    </r>
    <r>
      <rPr>
        <sz val="10"/>
        <color theme="1"/>
        <rFont val="Arial Narrow"/>
        <family val="2"/>
      </rPr>
      <t>)</t>
    </r>
    <phoneticPr fontId="3" type="noConversion"/>
  </si>
  <si>
    <r>
      <rPr>
        <sz val="10"/>
        <color theme="1"/>
        <rFont val="돋움"/>
        <family val="3"/>
        <charset val="129"/>
      </rPr>
      <t>제품</t>
    </r>
    <r>
      <rPr>
        <sz val="10"/>
        <color theme="1"/>
        <rFont val="Arial Narrow"/>
        <family val="2"/>
      </rPr>
      <t>-</t>
    </r>
    <r>
      <rPr>
        <sz val="10"/>
        <color theme="1"/>
        <rFont val="돋움"/>
        <family val="3"/>
        <charset val="129"/>
      </rPr>
      <t>수출</t>
    </r>
    <phoneticPr fontId="3" type="noConversion"/>
  </si>
  <si>
    <r>
      <rPr>
        <sz val="10"/>
        <color theme="1"/>
        <rFont val="돋움"/>
        <family val="3"/>
        <charset val="129"/>
      </rPr>
      <t>제품</t>
    </r>
    <r>
      <rPr>
        <sz val="10"/>
        <color theme="1"/>
        <rFont val="Arial Narrow"/>
        <family val="2"/>
      </rPr>
      <t>-</t>
    </r>
    <r>
      <rPr>
        <sz val="10"/>
        <color theme="1"/>
        <rFont val="돋움"/>
        <family val="3"/>
        <charset val="129"/>
      </rPr>
      <t>내수</t>
    </r>
    <phoneticPr fontId="3" type="noConversion"/>
  </si>
  <si>
    <r>
      <rPr>
        <sz val="10"/>
        <color theme="1"/>
        <rFont val="돋움"/>
        <family val="3"/>
        <charset val="129"/>
      </rPr>
      <t>제품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매출액</t>
    </r>
    <phoneticPr fontId="3" type="noConversion"/>
  </si>
  <si>
    <r>
      <rPr>
        <sz val="10"/>
        <color theme="1"/>
        <rFont val="돋움"/>
        <family val="3"/>
        <charset val="129"/>
      </rPr>
      <t>상품</t>
    </r>
    <r>
      <rPr>
        <sz val="10"/>
        <color theme="1"/>
        <rFont val="Arial Narrow"/>
        <family val="2"/>
      </rPr>
      <t>-</t>
    </r>
    <r>
      <rPr>
        <sz val="10"/>
        <color theme="1"/>
        <rFont val="돋움"/>
        <family val="3"/>
        <charset val="129"/>
      </rPr>
      <t>수출</t>
    </r>
    <phoneticPr fontId="3" type="noConversion"/>
  </si>
  <si>
    <r>
      <rPr>
        <sz val="10"/>
        <color theme="1"/>
        <rFont val="돋움"/>
        <family val="3"/>
        <charset val="129"/>
      </rPr>
      <t>상품</t>
    </r>
    <r>
      <rPr>
        <sz val="10"/>
        <color theme="1"/>
        <rFont val="Arial Narrow"/>
        <family val="2"/>
      </rPr>
      <t>-</t>
    </r>
    <r>
      <rPr>
        <sz val="10"/>
        <color theme="1"/>
        <rFont val="돋움"/>
        <family val="3"/>
        <charset val="129"/>
      </rPr>
      <t>내수</t>
    </r>
    <phoneticPr fontId="3" type="noConversion"/>
  </si>
  <si>
    <r>
      <rPr>
        <sz val="10"/>
        <color theme="1"/>
        <rFont val="돋움"/>
        <family val="3"/>
        <charset val="129"/>
      </rPr>
      <t>상품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매출액</t>
    </r>
    <phoneticPr fontId="3" type="noConversion"/>
  </si>
  <si>
    <r>
      <rPr>
        <sz val="10"/>
        <color theme="1"/>
        <rFont val="돋움"/>
        <family val="3"/>
        <charset val="129"/>
      </rPr>
      <t>제품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매출액</t>
    </r>
    <r>
      <rPr>
        <sz val="10"/>
        <color theme="1"/>
        <rFont val="Arial Narrow"/>
        <family val="2"/>
      </rPr>
      <t>/</t>
    </r>
    <r>
      <rPr>
        <sz val="10"/>
        <color theme="1"/>
        <rFont val="돋움"/>
        <family val="3"/>
        <charset val="129"/>
      </rPr>
      <t>전체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매출액</t>
    </r>
    <r>
      <rPr>
        <sz val="10"/>
        <color theme="1"/>
        <rFont val="Arial Narrow"/>
        <family val="2"/>
      </rPr>
      <t>(%)</t>
    </r>
    <phoneticPr fontId="3" type="noConversion"/>
  </si>
  <si>
    <r>
      <rPr>
        <sz val="10"/>
        <color theme="1"/>
        <rFont val="돋움"/>
        <family val="3"/>
        <charset val="129"/>
      </rPr>
      <t>펌프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판매가격</t>
    </r>
    <r>
      <rPr>
        <sz val="10"/>
        <color theme="1"/>
        <rFont val="Arial Narrow"/>
        <family val="2"/>
      </rPr>
      <t>(</t>
    </r>
    <r>
      <rPr>
        <sz val="10"/>
        <color theme="1"/>
        <rFont val="돋움"/>
        <family val="3"/>
        <charset val="129"/>
      </rPr>
      <t>백만원</t>
    </r>
    <r>
      <rPr>
        <sz val="10"/>
        <color theme="1"/>
        <rFont val="Arial Narrow"/>
        <family val="2"/>
      </rPr>
      <t>)</t>
    </r>
    <phoneticPr fontId="3" type="noConversion"/>
  </si>
  <si>
    <r>
      <rPr>
        <sz val="10"/>
        <color theme="1"/>
        <rFont val="돋움"/>
        <family val="3"/>
        <charset val="129"/>
      </rPr>
      <t>판매량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추이</t>
    </r>
    <phoneticPr fontId="3" type="noConversion"/>
  </si>
  <si>
    <r>
      <t xml:space="preserve">ASME </t>
    </r>
    <r>
      <rPr>
        <sz val="10"/>
        <color theme="1"/>
        <rFont val="돋움"/>
        <family val="3"/>
        <charset val="129"/>
      </rPr>
      <t>펌프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판매량</t>
    </r>
    <phoneticPr fontId="3" type="noConversion"/>
  </si>
  <si>
    <r>
      <t xml:space="preserve">API </t>
    </r>
    <r>
      <rPr>
        <sz val="10"/>
        <color theme="1"/>
        <rFont val="돋움"/>
        <family val="3"/>
        <charset val="129"/>
      </rPr>
      <t>펌프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판매량</t>
    </r>
    <phoneticPr fontId="3" type="noConversion"/>
  </si>
  <si>
    <r>
      <rPr>
        <sz val="10"/>
        <color theme="1"/>
        <rFont val="돋움"/>
        <family val="3"/>
        <charset val="129"/>
      </rPr>
      <t>수주잔고</t>
    </r>
    <r>
      <rPr>
        <sz val="10"/>
        <color theme="1"/>
        <rFont val="Arial Narrow"/>
        <family val="2"/>
      </rPr>
      <t>(</t>
    </r>
    <r>
      <rPr>
        <sz val="10"/>
        <color theme="1"/>
        <rFont val="돋움"/>
        <family val="3"/>
        <charset val="129"/>
      </rPr>
      <t>백만원</t>
    </r>
    <r>
      <rPr>
        <sz val="10"/>
        <color theme="1"/>
        <rFont val="Arial Narrow"/>
        <family val="2"/>
      </rPr>
      <t>)</t>
    </r>
    <phoneticPr fontId="3" type="noConversion"/>
  </si>
  <si>
    <r>
      <rPr>
        <sz val="10"/>
        <color theme="1"/>
        <rFont val="돋움"/>
        <family val="3"/>
        <charset val="129"/>
      </rPr>
      <t>수주잔고</t>
    </r>
    <phoneticPr fontId="3" type="noConversion"/>
  </si>
  <si>
    <r>
      <rPr>
        <sz val="10"/>
        <color theme="1"/>
        <rFont val="돋움"/>
        <family val="3"/>
        <charset val="129"/>
      </rPr>
      <t>수주잔고</t>
    </r>
    <r>
      <rPr>
        <sz val="10"/>
        <color theme="1"/>
        <rFont val="Arial Narrow"/>
        <family val="2"/>
      </rPr>
      <t>/</t>
    </r>
    <r>
      <rPr>
        <sz val="10"/>
        <color theme="1"/>
        <rFont val="돋움"/>
        <family val="3"/>
        <charset val="129"/>
      </rPr>
      <t>매출액</t>
    </r>
    <r>
      <rPr>
        <sz val="10"/>
        <color theme="1"/>
        <rFont val="Arial Narrow"/>
        <family val="2"/>
      </rPr>
      <t>(%)</t>
    </r>
    <phoneticPr fontId="3" type="noConversion"/>
  </si>
  <si>
    <r>
      <rPr>
        <sz val="10"/>
        <color theme="1"/>
        <rFont val="돋움"/>
        <family val="3"/>
        <charset val="129"/>
      </rPr>
      <t>비용</t>
    </r>
  </si>
  <si>
    <r>
      <rPr>
        <sz val="10"/>
        <color theme="1"/>
        <rFont val="돋움"/>
        <family val="3"/>
        <charset val="129"/>
      </rPr>
      <t>구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"/>
        <family val="3"/>
        <charset val="129"/>
      </rPr>
      <t>분</t>
    </r>
  </si>
  <si>
    <r>
      <rPr>
        <sz val="10"/>
        <color theme="1"/>
        <rFont val="돋움"/>
        <family val="3"/>
        <charset val="129"/>
      </rPr>
      <t>재고자산의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변동</t>
    </r>
    <phoneticPr fontId="3" type="noConversion"/>
  </si>
  <si>
    <r>
      <rPr>
        <sz val="10"/>
        <color theme="1"/>
        <rFont val="돋움"/>
        <family val="3"/>
        <charset val="129"/>
      </rPr>
      <t>원재료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투입액</t>
    </r>
    <phoneticPr fontId="3" type="noConversion"/>
  </si>
  <si>
    <r>
      <rPr>
        <sz val="10"/>
        <color theme="1"/>
        <rFont val="돋움"/>
        <family val="3"/>
        <charset val="129"/>
      </rPr>
      <t>인건비</t>
    </r>
    <phoneticPr fontId="3" type="noConversion"/>
  </si>
  <si>
    <r>
      <rPr>
        <sz val="10"/>
        <color theme="1"/>
        <rFont val="돋움"/>
        <family val="3"/>
        <charset val="129"/>
      </rPr>
      <t>운반비</t>
    </r>
    <phoneticPr fontId="3" type="noConversion"/>
  </si>
  <si>
    <r>
      <rPr>
        <sz val="10"/>
        <color theme="1"/>
        <rFont val="돋움"/>
        <family val="3"/>
        <charset val="129"/>
      </rPr>
      <t>지급수수료</t>
    </r>
    <phoneticPr fontId="3" type="noConversion"/>
  </si>
  <si>
    <r>
      <rPr>
        <sz val="10"/>
        <color theme="1"/>
        <rFont val="돋움"/>
        <family val="3"/>
        <charset val="129"/>
      </rPr>
      <t>외주가공비</t>
    </r>
    <phoneticPr fontId="3" type="noConversion"/>
  </si>
  <si>
    <r>
      <rPr>
        <sz val="10"/>
        <color theme="1"/>
        <rFont val="돋움"/>
        <family val="3"/>
        <charset val="129"/>
      </rPr>
      <t>전력비</t>
    </r>
    <phoneticPr fontId="3" type="noConversion"/>
  </si>
  <si>
    <r>
      <rPr>
        <sz val="10"/>
        <color theme="1"/>
        <rFont val="돋움"/>
        <family val="3"/>
        <charset val="129"/>
      </rPr>
      <t>감가상각비</t>
    </r>
    <phoneticPr fontId="3" type="noConversion"/>
  </si>
  <si>
    <r>
      <rPr>
        <sz val="10"/>
        <color theme="1"/>
        <rFont val="돋움"/>
        <family val="3"/>
        <charset val="129"/>
      </rPr>
      <t>주요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비용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계</t>
    </r>
  </si>
  <si>
    <r>
      <rPr>
        <sz val="10"/>
        <color theme="1"/>
        <rFont val="돋움"/>
        <family val="3"/>
        <charset val="129"/>
      </rPr>
      <t>원재료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투입액</t>
    </r>
    <r>
      <rPr>
        <sz val="10"/>
        <color theme="1"/>
        <rFont val="Arial Narrow"/>
        <family val="2"/>
      </rPr>
      <t>/</t>
    </r>
    <r>
      <rPr>
        <sz val="10"/>
        <color theme="1"/>
        <rFont val="돋움"/>
        <family val="3"/>
        <charset val="129"/>
      </rPr>
      <t>비용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합계</t>
    </r>
    <r>
      <rPr>
        <sz val="10"/>
        <color theme="1"/>
        <rFont val="Arial Narrow"/>
        <family val="2"/>
      </rPr>
      <t>(%)</t>
    </r>
    <phoneticPr fontId="3" type="noConversion"/>
  </si>
  <si>
    <r>
      <rPr>
        <sz val="10"/>
        <color theme="1"/>
        <rFont val="돋움"/>
        <family val="3"/>
        <charset val="129"/>
      </rPr>
      <t>급여</t>
    </r>
  </si>
  <si>
    <r>
      <rPr>
        <sz val="10"/>
        <color theme="1"/>
        <rFont val="돋움"/>
        <family val="3"/>
        <charset val="129"/>
      </rPr>
      <t>임차료</t>
    </r>
    <phoneticPr fontId="3" type="noConversion"/>
  </si>
  <si>
    <r>
      <rPr>
        <sz val="10"/>
        <color theme="1"/>
        <rFont val="돋움"/>
        <family val="3"/>
        <charset val="129"/>
      </rPr>
      <t>주요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판관비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계</t>
    </r>
  </si>
  <si>
    <r>
      <rPr>
        <sz val="10"/>
        <color theme="1"/>
        <rFont val="돋움"/>
        <family val="3"/>
        <charset val="129"/>
      </rPr>
      <t>기타</t>
    </r>
    <phoneticPr fontId="3" type="noConversion"/>
  </si>
  <si>
    <r>
      <rPr>
        <sz val="10"/>
        <color theme="1"/>
        <rFont val="돋움"/>
        <family val="3"/>
        <charset val="129"/>
      </rPr>
      <t>직원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현황</t>
    </r>
    <phoneticPr fontId="3" type="noConversion"/>
  </si>
  <si>
    <r>
      <rPr>
        <sz val="10"/>
        <color theme="1"/>
        <rFont val="돋움"/>
        <family val="3"/>
        <charset val="129"/>
      </rPr>
      <t>영업지원</t>
    </r>
    <phoneticPr fontId="3" type="noConversion"/>
  </si>
  <si>
    <r>
      <rPr>
        <sz val="10"/>
        <color theme="1"/>
        <rFont val="돋움"/>
        <family val="3"/>
        <charset val="129"/>
      </rPr>
      <t>관리직</t>
    </r>
    <phoneticPr fontId="3" type="noConversion"/>
  </si>
  <si>
    <r>
      <rPr>
        <sz val="10"/>
        <color theme="1"/>
        <rFont val="돋움"/>
        <family val="3"/>
        <charset val="129"/>
      </rPr>
      <t>기술직</t>
    </r>
    <phoneticPr fontId="3" type="noConversion"/>
  </si>
  <si>
    <r>
      <rPr>
        <sz val="10"/>
        <color theme="1"/>
        <rFont val="돋움"/>
        <family val="3"/>
        <charset val="129"/>
      </rPr>
      <t>생산직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인원</t>
    </r>
    <phoneticPr fontId="3" type="noConversion"/>
  </si>
  <si>
    <r>
      <rPr>
        <sz val="10"/>
        <color theme="1"/>
        <rFont val="돋움"/>
        <family val="3"/>
        <charset val="129"/>
      </rPr>
      <t>공장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종업원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급여</t>
    </r>
  </si>
  <si>
    <r>
      <rPr>
        <sz val="10"/>
        <color theme="1"/>
        <rFont val="돋움"/>
        <family val="3"/>
        <charset val="129"/>
      </rPr>
      <t>임원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급여</t>
    </r>
    <phoneticPr fontId="3" type="noConversion"/>
  </si>
  <si>
    <r>
      <rPr>
        <sz val="10"/>
        <color theme="1"/>
        <rFont val="돋움"/>
        <family val="3"/>
        <charset val="129"/>
      </rPr>
      <t>미등기임원</t>
    </r>
    <r>
      <rPr>
        <sz val="10"/>
        <color theme="1"/>
        <rFont val="Arial Narrow"/>
        <family val="2"/>
      </rPr>
      <t>-</t>
    </r>
    <r>
      <rPr>
        <sz val="10"/>
        <color theme="1"/>
        <rFont val="돋움"/>
        <family val="3"/>
        <charset val="129"/>
      </rPr>
      <t>인원수</t>
    </r>
    <phoneticPr fontId="3" type="noConversion"/>
  </si>
  <si>
    <r>
      <rPr>
        <sz val="10"/>
        <color theme="1"/>
        <rFont val="돋움"/>
        <family val="3"/>
        <charset val="129"/>
      </rPr>
      <t>미등기임원</t>
    </r>
    <r>
      <rPr>
        <sz val="10"/>
        <color theme="1"/>
        <rFont val="Arial Narrow"/>
        <family val="2"/>
      </rPr>
      <t>-</t>
    </r>
    <r>
      <rPr>
        <sz val="10"/>
        <color theme="1"/>
        <rFont val="돋움"/>
        <family val="3"/>
        <charset val="129"/>
      </rPr>
      <t>급여</t>
    </r>
    <phoneticPr fontId="3" type="noConversion"/>
  </si>
  <si>
    <r>
      <rPr>
        <sz val="10"/>
        <color theme="1"/>
        <rFont val="돋움"/>
        <family val="3"/>
        <charset val="129"/>
      </rPr>
      <t>등기임원</t>
    </r>
    <r>
      <rPr>
        <sz val="10"/>
        <color theme="1"/>
        <rFont val="Arial Narrow"/>
        <family val="2"/>
      </rPr>
      <t>-</t>
    </r>
    <r>
      <rPr>
        <sz val="10"/>
        <color theme="1"/>
        <rFont val="돋움"/>
        <family val="3"/>
        <charset val="129"/>
      </rPr>
      <t>인원수</t>
    </r>
    <phoneticPr fontId="3" type="noConversion"/>
  </si>
  <si>
    <r>
      <rPr>
        <sz val="10"/>
        <color theme="1"/>
        <rFont val="돋움"/>
        <family val="3"/>
        <charset val="129"/>
      </rPr>
      <t>등기임원</t>
    </r>
    <r>
      <rPr>
        <sz val="10"/>
        <color theme="1"/>
        <rFont val="Arial Narrow"/>
        <family val="2"/>
      </rPr>
      <t>-</t>
    </r>
    <r>
      <rPr>
        <sz val="10"/>
        <color theme="1"/>
        <rFont val="돋움"/>
        <family val="3"/>
        <charset val="129"/>
      </rPr>
      <t>급여</t>
    </r>
    <phoneticPr fontId="3" type="noConversion"/>
  </si>
  <si>
    <r>
      <rPr>
        <sz val="10"/>
        <color theme="1"/>
        <rFont val="돋움"/>
        <family val="3"/>
        <charset val="129"/>
      </rPr>
      <t>지역별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매출액</t>
    </r>
  </si>
  <si>
    <r>
      <rPr>
        <sz val="10"/>
        <color theme="1"/>
        <rFont val="돋움"/>
        <family val="3"/>
        <charset val="129"/>
      </rPr>
      <t>말레이시아</t>
    </r>
    <phoneticPr fontId="3" type="noConversion"/>
  </si>
  <si>
    <r>
      <rPr>
        <sz val="10"/>
        <color theme="1"/>
        <rFont val="돋움"/>
        <family val="3"/>
        <charset val="129"/>
      </rPr>
      <t>멕시코</t>
    </r>
    <phoneticPr fontId="3" type="noConversion"/>
  </si>
  <si>
    <r>
      <rPr>
        <sz val="10"/>
        <color theme="1"/>
        <rFont val="돋움"/>
        <family val="3"/>
        <charset val="129"/>
      </rPr>
      <t>일본</t>
    </r>
    <phoneticPr fontId="3" type="noConversion"/>
  </si>
  <si>
    <r>
      <rPr>
        <sz val="10"/>
        <color theme="1"/>
        <rFont val="돋움"/>
        <family val="3"/>
        <charset val="129"/>
      </rPr>
      <t>인도네시아</t>
    </r>
    <phoneticPr fontId="3" type="noConversion"/>
  </si>
  <si>
    <r>
      <rPr>
        <sz val="10"/>
        <color theme="1"/>
        <rFont val="돋움"/>
        <family val="3"/>
        <charset val="129"/>
      </rPr>
      <t>헝가리</t>
    </r>
    <phoneticPr fontId="3" type="noConversion"/>
  </si>
  <si>
    <r>
      <rPr>
        <sz val="10"/>
        <color theme="1"/>
        <rFont val="돋움"/>
        <family val="3"/>
        <charset val="129"/>
      </rPr>
      <t>중국</t>
    </r>
    <phoneticPr fontId="3" type="noConversion"/>
  </si>
  <si>
    <r>
      <rPr>
        <sz val="10"/>
        <color theme="1"/>
        <rFont val="돋움"/>
        <family val="3"/>
        <charset val="129"/>
      </rPr>
      <t>사우디아라비아</t>
    </r>
    <phoneticPr fontId="3" type="noConversion"/>
  </si>
  <si>
    <r>
      <rPr>
        <sz val="10"/>
        <color theme="1"/>
        <rFont val="돋움"/>
        <family val="3"/>
        <charset val="129"/>
      </rPr>
      <t>태국</t>
    </r>
    <phoneticPr fontId="3" type="noConversion"/>
  </si>
  <si>
    <r>
      <rPr>
        <sz val="10"/>
        <color theme="1"/>
        <rFont val="돋움"/>
        <family val="3"/>
        <charset val="129"/>
      </rPr>
      <t>호주</t>
    </r>
    <phoneticPr fontId="3" type="noConversion"/>
  </si>
  <si>
    <r>
      <rPr>
        <sz val="10"/>
        <color theme="1"/>
        <rFont val="돋움"/>
        <family val="3"/>
        <charset val="129"/>
      </rPr>
      <t>베트남</t>
    </r>
    <phoneticPr fontId="3" type="noConversion"/>
  </si>
  <si>
    <r>
      <rPr>
        <sz val="10"/>
        <color theme="1"/>
        <rFont val="돋움"/>
        <family val="3"/>
        <charset val="129"/>
      </rPr>
      <t>기타</t>
    </r>
  </si>
  <si>
    <r>
      <rPr>
        <sz val="10"/>
        <color theme="1"/>
        <rFont val="돋움"/>
        <family val="3"/>
        <charset val="129"/>
      </rPr>
      <t>계</t>
    </r>
  </si>
  <si>
    <r>
      <rPr>
        <sz val="10"/>
        <color theme="1"/>
        <rFont val="돋움"/>
        <family val="3"/>
        <charset val="129"/>
      </rPr>
      <t>수출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비중</t>
    </r>
    <r>
      <rPr>
        <sz val="10"/>
        <color theme="1"/>
        <rFont val="Arial Narrow"/>
        <family val="2"/>
      </rPr>
      <t>(%)</t>
    </r>
  </si>
  <si>
    <r>
      <rPr>
        <sz val="10"/>
        <color theme="1"/>
        <rFont val="돋움"/>
        <family val="3"/>
        <charset val="129"/>
      </rPr>
      <t>수출</t>
    </r>
    <phoneticPr fontId="3" type="noConversion"/>
  </si>
  <si>
    <r>
      <rPr>
        <sz val="10"/>
        <color theme="1"/>
        <rFont val="돋움"/>
        <family val="3"/>
        <charset val="129"/>
      </rPr>
      <t>재고자산</t>
    </r>
    <phoneticPr fontId="3" type="noConversion"/>
  </si>
  <si>
    <r>
      <rPr>
        <sz val="10"/>
        <color theme="1"/>
        <rFont val="돋움"/>
        <family val="3"/>
        <charset val="129"/>
      </rPr>
      <t>재고자산</t>
    </r>
  </si>
  <si>
    <r>
      <rPr>
        <sz val="10"/>
        <color theme="1"/>
        <rFont val="돋움"/>
        <family val="3"/>
        <charset val="129"/>
      </rPr>
      <t>상품</t>
    </r>
    <phoneticPr fontId="3" type="noConversion"/>
  </si>
  <si>
    <r>
      <rPr>
        <sz val="10"/>
        <color theme="1"/>
        <rFont val="돋움"/>
        <family val="3"/>
        <charset val="129"/>
      </rPr>
      <t>제품</t>
    </r>
    <phoneticPr fontId="3" type="noConversion"/>
  </si>
  <si>
    <r>
      <rPr>
        <sz val="10"/>
        <color theme="1"/>
        <rFont val="돋움"/>
        <family val="3"/>
        <charset val="129"/>
      </rPr>
      <t>반제품</t>
    </r>
    <phoneticPr fontId="3" type="noConversion"/>
  </si>
  <si>
    <r>
      <rPr>
        <sz val="10"/>
        <color theme="1"/>
        <rFont val="돋움"/>
        <family val="3"/>
        <charset val="129"/>
      </rPr>
      <t>재공품</t>
    </r>
    <phoneticPr fontId="3" type="noConversion"/>
  </si>
  <si>
    <r>
      <rPr>
        <sz val="10"/>
        <color rgb="FF002060"/>
        <rFont val="돋움"/>
        <family val="3"/>
        <charset val="129"/>
      </rPr>
      <t>원재료</t>
    </r>
    <phoneticPr fontId="3" type="noConversion"/>
  </si>
  <si>
    <r>
      <rPr>
        <sz val="10"/>
        <color rgb="FF002060"/>
        <rFont val="돋움"/>
        <family val="3"/>
        <charset val="129"/>
      </rPr>
      <t>저장품</t>
    </r>
    <phoneticPr fontId="3" type="noConversion"/>
  </si>
  <si>
    <r>
      <rPr>
        <sz val="10"/>
        <color rgb="FF002060"/>
        <rFont val="돋움"/>
        <family val="3"/>
        <charset val="129"/>
      </rPr>
      <t>미착품</t>
    </r>
    <phoneticPr fontId="3" type="noConversion"/>
  </si>
  <si>
    <r>
      <rPr>
        <sz val="10"/>
        <color rgb="FF002060"/>
        <rFont val="돋움"/>
        <family val="3"/>
        <charset val="129"/>
      </rPr>
      <t>재고자산</t>
    </r>
    <r>
      <rPr>
        <sz val="10"/>
        <color rgb="FF002060"/>
        <rFont val="Arial Narrow"/>
        <family val="2"/>
      </rPr>
      <t xml:space="preserve"> </t>
    </r>
    <r>
      <rPr>
        <sz val="10"/>
        <color rgb="FF002060"/>
        <rFont val="돋움"/>
        <family val="3"/>
        <charset val="129"/>
      </rPr>
      <t>총액</t>
    </r>
  </si>
  <si>
    <r>
      <rPr>
        <sz val="10"/>
        <color theme="1"/>
        <rFont val="돋움"/>
        <family val="3"/>
        <charset val="129"/>
      </rPr>
      <t>재고자산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회전율</t>
    </r>
  </si>
  <si>
    <r>
      <rPr>
        <sz val="10"/>
        <color theme="1"/>
        <rFont val="돋움"/>
        <family val="3"/>
        <charset val="129"/>
      </rPr>
      <t>매출채권</t>
    </r>
    <phoneticPr fontId="3" type="noConversion"/>
  </si>
  <si>
    <r>
      <rPr>
        <sz val="10"/>
        <color theme="1"/>
        <rFont val="돋움"/>
        <family val="3"/>
        <charset val="129"/>
      </rPr>
      <t>채권금액</t>
    </r>
    <phoneticPr fontId="3" type="noConversion"/>
  </si>
  <si>
    <r>
      <rPr>
        <sz val="10"/>
        <color theme="1"/>
        <rFont val="돋움"/>
        <family val="3"/>
        <charset val="129"/>
      </rPr>
      <t>손실충당금</t>
    </r>
    <phoneticPr fontId="3" type="noConversion"/>
  </si>
  <si>
    <r>
      <rPr>
        <sz val="10"/>
        <color theme="1"/>
        <rFont val="돋움"/>
        <family val="3"/>
        <charset val="129"/>
      </rPr>
      <t>대손충당금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설정률</t>
    </r>
    <r>
      <rPr>
        <sz val="10"/>
        <color theme="1"/>
        <rFont val="Arial Narrow"/>
        <family val="2"/>
      </rPr>
      <t>(%)</t>
    </r>
    <phoneticPr fontId="3" type="noConversion"/>
  </si>
  <si>
    <r>
      <rPr>
        <sz val="10"/>
        <color theme="1"/>
        <rFont val="돋움"/>
        <family val="3"/>
        <charset val="129"/>
      </rPr>
      <t>매출채권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"/>
        <family val="3"/>
        <charset val="129"/>
      </rPr>
      <t>회전율</t>
    </r>
    <phoneticPr fontId="3" type="noConversion"/>
  </si>
  <si>
    <r>
      <rPr>
        <sz val="10"/>
        <color theme="1"/>
        <rFont val="돋움"/>
        <family val="3"/>
        <charset val="129"/>
      </rPr>
      <t>연구개발비용</t>
    </r>
    <phoneticPr fontId="3" type="noConversion"/>
  </si>
  <si>
    <r>
      <rPr>
        <sz val="10"/>
        <color theme="1"/>
        <rFont val="돋움"/>
        <family val="3"/>
        <charset val="129"/>
      </rPr>
      <t>구분</t>
    </r>
    <phoneticPr fontId="3" type="noConversion"/>
  </si>
  <si>
    <r>
      <rPr>
        <sz val="10"/>
        <color theme="1"/>
        <rFont val="돋움"/>
        <family val="3"/>
        <charset val="129"/>
      </rPr>
      <t>연구개발비</t>
    </r>
    <r>
      <rPr>
        <sz val="10"/>
        <color theme="1"/>
        <rFont val="Arial Narrow"/>
        <family val="2"/>
      </rPr>
      <t>/</t>
    </r>
    <r>
      <rPr>
        <sz val="10"/>
        <color theme="1"/>
        <rFont val="돋움"/>
        <family val="3"/>
        <charset val="129"/>
      </rPr>
      <t>매출액</t>
    </r>
    <r>
      <rPr>
        <sz val="10"/>
        <color theme="1"/>
        <rFont val="Arial Narrow"/>
        <family val="2"/>
      </rPr>
      <t>(%)</t>
    </r>
    <phoneticPr fontId="3" type="noConversion"/>
  </si>
  <si>
    <r>
      <rPr>
        <sz val="10"/>
        <color theme="1"/>
        <rFont val="돋움"/>
        <family val="3"/>
        <charset val="129"/>
      </rPr>
      <t>이글루시큐리티</t>
    </r>
  </si>
  <si>
    <r>
      <rPr>
        <sz val="10"/>
        <color theme="1"/>
        <rFont val="돋움"/>
        <family val="3"/>
        <charset val="129"/>
      </rPr>
      <t>파이오링크</t>
    </r>
  </si>
  <si>
    <r>
      <rPr>
        <sz val="10"/>
        <color theme="1"/>
        <rFont val="돋움"/>
        <family val="3"/>
        <charset val="129"/>
      </rPr>
      <t>윈스</t>
    </r>
  </si>
  <si>
    <r>
      <rPr>
        <sz val="10"/>
        <color theme="1"/>
        <rFont val="돋움"/>
        <family val="3"/>
        <charset val="129"/>
      </rPr>
      <t>국내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매출액</t>
    </r>
    <phoneticPr fontId="3" type="noConversion"/>
  </si>
  <si>
    <r>
      <rPr>
        <sz val="10"/>
        <color theme="1"/>
        <rFont val="Arial Unicode MS"/>
        <family val="2"/>
        <charset val="129"/>
      </rPr>
      <t>매출액</t>
    </r>
    <r>
      <rPr>
        <sz val="10"/>
        <color theme="1"/>
        <rFont val="Arial Narrow"/>
        <family val="2"/>
      </rPr>
      <t>(1</t>
    </r>
    <r>
      <rPr>
        <sz val="10"/>
        <color theme="1"/>
        <rFont val="Arial Unicode MS"/>
        <family val="2"/>
        <charset val="129"/>
      </rPr>
      <t>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Arial Unicode MS"/>
        <family val="2"/>
        <charset val="129"/>
      </rPr>
      <t>분기</t>
    </r>
    <r>
      <rPr>
        <sz val="10"/>
        <color theme="1"/>
        <rFont val="Arial Narrow"/>
        <family val="2"/>
      </rPr>
      <t xml:space="preserve"> Lagging)</t>
    </r>
    <phoneticPr fontId="3" type="noConversion"/>
  </si>
  <si>
    <r>
      <rPr>
        <sz val="10"/>
        <color theme="1"/>
        <rFont val="돋움"/>
        <family val="3"/>
        <charset val="129"/>
      </rPr>
      <t>수주잔고</t>
    </r>
    <r>
      <rPr>
        <sz val="10"/>
        <color theme="1"/>
        <rFont val="Arial Narrow"/>
        <family val="2"/>
      </rPr>
      <t>(</t>
    </r>
    <r>
      <rPr>
        <sz val="10"/>
        <color theme="1"/>
        <rFont val="굴림"/>
        <family val="2"/>
        <charset val="129"/>
      </rPr>
      <t>영풍정밀)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</si>
</sst>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_-* #,##0_-;\-* #,##0_-;_-* &quot;-&quot;_-;_-@"/>
    <numFmt numFmtId="177" formatCode="0.0%"/>
    <numFmt numFmtId="178" formatCode="#,##0_ ;[Red]\-#,##0\ "/>
    <numFmt numFmtId="179" formatCode="_-* #,##0.00_-;\-* #,##0.00_-;_-* &quot;-&quot;_-;_-@"/>
    <numFmt numFmtId="180" formatCode="0_);[Red]\(0\)"/>
    <numFmt numFmtId="181" formatCode="#,##0_);[Red]\(#,##0\)"/>
    <numFmt numFmtId="182" formatCode="0.00_);[Red]\(0.00\)"/>
    <numFmt numFmtId="183" formatCode="_-* #,##0_-;\-* #,##0_-;_-* &quot;-&quot;??_-;_-@_-"/>
  </numFmts>
  <fonts count="18">
    <font>
      <sz val="11"/>
      <color theme="1"/>
      <name val="Calibri"/>
      <scheme val="minor"/>
    </font>
    <font>
      <sz val="10"/>
      <color theme="1"/>
      <name val="돋움"/>
      <family val="3"/>
      <charset val="129"/>
    </font>
    <font>
      <sz val="11"/>
      <color theme="1"/>
      <name val="Calibri"/>
      <family val="2"/>
      <scheme val="minor"/>
    </font>
    <font>
      <sz val="8"/>
      <name val="Calibri"/>
      <family val="3"/>
      <charset val="129"/>
      <scheme val="minor"/>
    </font>
    <font>
      <b/>
      <sz val="13"/>
      <color theme="1"/>
      <name val="돋움"/>
      <family val="3"/>
      <charset val="129"/>
    </font>
    <font>
      <sz val="10"/>
      <color rgb="FF002060"/>
      <name val="돋움"/>
      <family val="3"/>
      <charset val="129"/>
    </font>
    <font>
      <sz val="10"/>
      <color theme="4"/>
      <name val="돋움"/>
      <family val="3"/>
      <charset val="129"/>
    </font>
    <font>
      <sz val="10"/>
      <color theme="1"/>
      <name val="Arial Narrow"/>
      <family val="2"/>
    </font>
    <font>
      <sz val="10"/>
      <color rgb="FF000000"/>
      <name val="Arial Narrow"/>
      <family val="2"/>
    </font>
    <font>
      <sz val="11"/>
      <color theme="1"/>
      <name val="Arial Narrow"/>
      <family val="2"/>
    </font>
    <font>
      <b/>
      <sz val="13"/>
      <color theme="1"/>
      <name val="Arial Narrow"/>
      <family val="2"/>
    </font>
    <font>
      <sz val="10"/>
      <color theme="4"/>
      <name val="Arial Narrow"/>
      <family val="2"/>
    </font>
    <font>
      <sz val="11"/>
      <color rgb="FF000000"/>
      <name val="Arial Narrow"/>
      <family val="2"/>
    </font>
    <font>
      <sz val="10"/>
      <color rgb="FF002060"/>
      <name val="Arial Narrow"/>
      <family val="2"/>
    </font>
    <font>
      <sz val="10"/>
      <color theme="1"/>
      <name val="Arial Unicode MS"/>
      <family val="2"/>
      <charset val="129"/>
    </font>
    <font>
      <sz val="10"/>
      <color theme="1"/>
      <name val="굴림"/>
      <family val="2"/>
      <charset val="129"/>
    </font>
    <font>
      <sz val="10"/>
      <color theme="1"/>
      <name val="Arial Narrow"/>
      <family val="3"/>
      <charset val="129"/>
    </font>
    <font>
      <sz val="11"/>
      <color indexed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E7E6E6"/>
        <bgColor rgb="FFE7E6E6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E7E6E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41" fontId="2" fillId="0" borderId="0" applyFont="0" applyFill="0" applyBorder="0" applyAlignment="0" applyProtection="0">
      <alignment vertical="center"/>
    </xf>
    <xf numFmtId="0" fontId="17" fillId="0" borderId="0">
      <alignment vertical="center"/>
    </xf>
  </cellStyleXfs>
  <cellXfs count="101">
    <xf numFmtId="0" fontId="0" fillId="0" borderId="0" xfId="0" applyAlignment="1">
      <alignment vertical="center"/>
    </xf>
    <xf numFmtId="176" fontId="7" fillId="0" borderId="0" xfId="0" applyNumberFormat="1" applyFont="1" applyAlignment="1">
      <alignment vertical="center"/>
    </xf>
    <xf numFmtId="176" fontId="8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176" fontId="10" fillId="0" borderId="0" xfId="0" applyNumberFormat="1" applyFont="1" applyAlignment="1">
      <alignment vertical="center"/>
    </xf>
    <xf numFmtId="177" fontId="7" fillId="0" borderId="0" xfId="0" applyNumberFormat="1" applyFont="1" applyAlignment="1">
      <alignment vertical="center"/>
    </xf>
    <xf numFmtId="176" fontId="7" fillId="2" borderId="1" xfId="0" applyNumberFormat="1" applyFont="1" applyFill="1" applyBorder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176" fontId="7" fillId="0" borderId="11" xfId="0" applyNumberFormat="1" applyFont="1" applyBorder="1" applyAlignment="1">
      <alignment vertical="center"/>
    </xf>
    <xf numFmtId="176" fontId="7" fillId="0" borderId="3" xfId="0" applyNumberFormat="1" applyFont="1" applyBorder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176" fontId="7" fillId="0" borderId="7" xfId="0" applyNumberFormat="1" applyFont="1" applyBorder="1" applyAlignment="1">
      <alignment vertical="center"/>
    </xf>
    <xf numFmtId="0" fontId="7" fillId="0" borderId="7" xfId="0" applyFont="1" applyBorder="1" applyAlignment="1">
      <alignment vertical="center"/>
    </xf>
    <xf numFmtId="177" fontId="7" fillId="0" borderId="7" xfId="0" applyNumberFormat="1" applyFont="1" applyBorder="1" applyAlignment="1">
      <alignment vertical="center"/>
    </xf>
    <xf numFmtId="176" fontId="7" fillId="3" borderId="1" xfId="0" applyNumberFormat="1" applyFont="1" applyFill="1" applyBorder="1" applyAlignment="1">
      <alignment vertical="center"/>
    </xf>
    <xf numFmtId="176" fontId="7" fillId="3" borderId="1" xfId="0" applyNumberFormat="1" applyFont="1" applyFill="1" applyBorder="1" applyAlignment="1">
      <alignment horizontal="center" vertical="center" wrapText="1"/>
    </xf>
    <xf numFmtId="176" fontId="7" fillId="3" borderId="5" xfId="0" applyNumberFormat="1" applyFont="1" applyFill="1" applyBorder="1" applyAlignment="1">
      <alignment horizontal="center" vertical="center" wrapText="1"/>
    </xf>
    <xf numFmtId="176" fontId="8" fillId="3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Border="1" applyAlignment="1">
      <alignment vertical="center"/>
    </xf>
    <xf numFmtId="176" fontId="7" fillId="0" borderId="2" xfId="0" applyNumberFormat="1" applyFont="1" applyBorder="1" applyAlignment="1">
      <alignment horizontal="center" vertical="center" wrapText="1"/>
    </xf>
    <xf numFmtId="176" fontId="7" fillId="0" borderId="6" xfId="0" applyNumberFormat="1" applyFont="1" applyBorder="1" applyAlignment="1">
      <alignment vertical="center"/>
    </xf>
    <xf numFmtId="9" fontId="7" fillId="0" borderId="0" xfId="0" applyNumberFormat="1" applyFont="1" applyAlignment="1">
      <alignment vertical="center"/>
    </xf>
    <xf numFmtId="176" fontId="7" fillId="0" borderId="4" xfId="0" applyNumberFormat="1" applyFont="1" applyBorder="1" applyAlignment="1">
      <alignment vertical="center"/>
    </xf>
    <xf numFmtId="176" fontId="11" fillId="0" borderId="2" xfId="0" applyNumberFormat="1" applyFont="1" applyBorder="1" applyAlignment="1">
      <alignment vertical="center"/>
    </xf>
    <xf numFmtId="176" fontId="11" fillId="0" borderId="2" xfId="0" applyNumberFormat="1" applyFont="1" applyBorder="1" applyAlignment="1">
      <alignment vertical="center" wrapText="1"/>
    </xf>
    <xf numFmtId="177" fontId="11" fillId="0" borderId="2" xfId="0" applyNumberFormat="1" applyFont="1" applyBorder="1" applyAlignment="1">
      <alignment vertical="center" wrapText="1"/>
    </xf>
    <xf numFmtId="177" fontId="7" fillId="0" borderId="4" xfId="0" applyNumberFormat="1" applyFont="1" applyBorder="1" applyAlignment="1">
      <alignment vertical="center"/>
    </xf>
    <xf numFmtId="177" fontId="7" fillId="0" borderId="2" xfId="0" applyNumberFormat="1" applyFont="1" applyBorder="1" applyAlignment="1">
      <alignment vertical="center"/>
    </xf>
    <xf numFmtId="176" fontId="7" fillId="0" borderId="4" xfId="0" applyNumberFormat="1" applyFont="1" applyBorder="1" applyAlignment="1">
      <alignment horizontal="right" vertical="center" wrapText="1"/>
    </xf>
    <xf numFmtId="176" fontId="7" fillId="0" borderId="4" xfId="0" applyNumberFormat="1" applyFont="1" applyBorder="1" applyAlignment="1">
      <alignment horizontal="right" vertical="center"/>
    </xf>
    <xf numFmtId="177" fontId="7" fillId="0" borderId="4" xfId="0" applyNumberFormat="1" applyFont="1" applyBorder="1" applyAlignment="1">
      <alignment horizontal="right" vertical="center" wrapText="1"/>
    </xf>
    <xf numFmtId="176" fontId="7" fillId="0" borderId="4" xfId="0" applyNumberFormat="1" applyFont="1" applyBorder="1" applyAlignment="1">
      <alignment horizontal="center" vertical="center" wrapText="1"/>
    </xf>
    <xf numFmtId="176" fontId="8" fillId="0" borderId="4" xfId="0" applyNumberFormat="1" applyFont="1" applyBorder="1" applyAlignment="1">
      <alignment horizontal="center" vertical="center" wrapText="1"/>
    </xf>
    <xf numFmtId="178" fontId="7" fillId="0" borderId="4" xfId="0" applyNumberFormat="1" applyFont="1" applyBorder="1" applyAlignment="1">
      <alignment vertical="center"/>
    </xf>
    <xf numFmtId="177" fontId="8" fillId="0" borderId="4" xfId="0" applyNumberFormat="1" applyFont="1" applyBorder="1" applyAlignment="1">
      <alignment horizontal="right" vertical="center" wrapText="1"/>
    </xf>
    <xf numFmtId="177" fontId="7" fillId="0" borderId="4" xfId="0" applyNumberFormat="1" applyFont="1" applyBorder="1" applyAlignment="1">
      <alignment horizontal="center" vertical="center" wrapText="1"/>
    </xf>
    <xf numFmtId="177" fontId="8" fillId="0" borderId="4" xfId="0" applyNumberFormat="1" applyFont="1" applyBorder="1" applyAlignment="1">
      <alignment horizontal="center" vertical="center" wrapText="1"/>
    </xf>
    <xf numFmtId="176" fontId="11" fillId="0" borderId="4" xfId="0" applyNumberFormat="1" applyFont="1" applyBorder="1" applyAlignment="1">
      <alignment vertical="center"/>
    </xf>
    <xf numFmtId="177" fontId="11" fillId="0" borderId="4" xfId="0" applyNumberFormat="1" applyFont="1" applyBorder="1" applyAlignment="1">
      <alignment vertical="center" wrapText="1"/>
    </xf>
    <xf numFmtId="178" fontId="7" fillId="0" borderId="4" xfId="0" applyNumberFormat="1" applyFont="1" applyBorder="1" applyAlignment="1">
      <alignment horizontal="right" vertical="center" wrapText="1"/>
    </xf>
    <xf numFmtId="178" fontId="8" fillId="0" borderId="4" xfId="0" applyNumberFormat="1" applyFont="1" applyBorder="1" applyAlignment="1">
      <alignment horizontal="right" vertical="center" wrapText="1"/>
    </xf>
    <xf numFmtId="176" fontId="7" fillId="0" borderId="8" xfId="0" applyNumberFormat="1" applyFont="1" applyBorder="1" applyAlignment="1">
      <alignment vertical="center"/>
    </xf>
    <xf numFmtId="177" fontId="7" fillId="0" borderId="8" xfId="0" applyNumberFormat="1" applyFont="1" applyBorder="1" applyAlignment="1">
      <alignment horizontal="right" vertical="center" wrapText="1"/>
    </xf>
    <xf numFmtId="177" fontId="8" fillId="0" borderId="8" xfId="0" applyNumberFormat="1" applyFont="1" applyBorder="1" applyAlignment="1">
      <alignment horizontal="right" vertical="center" wrapText="1"/>
    </xf>
    <xf numFmtId="177" fontId="7" fillId="0" borderId="8" xfId="0" applyNumberFormat="1" applyFont="1" applyBorder="1" applyAlignment="1">
      <alignment horizontal="right" vertical="center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right" vertical="center" wrapText="1"/>
    </xf>
    <xf numFmtId="3" fontId="12" fillId="0" borderId="0" xfId="0" applyNumberFormat="1" applyFont="1" applyAlignment="1">
      <alignment horizontal="right" vertical="center" wrapText="1"/>
    </xf>
    <xf numFmtId="178" fontId="8" fillId="0" borderId="4" xfId="0" applyNumberFormat="1" applyFont="1" applyBorder="1" applyAlignment="1">
      <alignment vertical="center"/>
    </xf>
    <xf numFmtId="178" fontId="7" fillId="6" borderId="4" xfId="0" applyNumberFormat="1" applyFont="1" applyFill="1" applyBorder="1" applyAlignment="1">
      <alignment vertical="center"/>
    </xf>
    <xf numFmtId="178" fontId="8" fillId="6" borderId="4" xfId="0" applyNumberFormat="1" applyFont="1" applyFill="1" applyBorder="1" applyAlignment="1">
      <alignment vertical="center"/>
    </xf>
    <xf numFmtId="176" fontId="13" fillId="0" borderId="0" xfId="0" applyNumberFormat="1" applyFont="1" applyAlignment="1">
      <alignment vertical="center"/>
    </xf>
    <xf numFmtId="176" fontId="7" fillId="3" borderId="13" xfId="0" applyNumberFormat="1" applyFont="1" applyFill="1" applyBorder="1" applyAlignment="1">
      <alignment horizontal="center" vertical="center" wrapText="1"/>
    </xf>
    <xf numFmtId="176" fontId="13" fillId="0" borderId="7" xfId="0" applyNumberFormat="1" applyFont="1" applyBorder="1" applyAlignment="1">
      <alignment vertical="center"/>
    </xf>
    <xf numFmtId="176" fontId="8" fillId="0" borderId="7" xfId="0" applyNumberFormat="1" applyFont="1" applyBorder="1" applyAlignment="1">
      <alignment vertical="center"/>
    </xf>
    <xf numFmtId="176" fontId="7" fillId="3" borderId="9" xfId="0" applyNumberFormat="1" applyFont="1" applyFill="1" applyBorder="1" applyAlignment="1">
      <alignment horizontal="center" vertical="center" wrapText="1"/>
    </xf>
    <xf numFmtId="176" fontId="8" fillId="3" borderId="9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Border="1" applyAlignment="1">
      <alignment vertical="center"/>
    </xf>
    <xf numFmtId="176" fontId="8" fillId="0" borderId="4" xfId="0" applyNumberFormat="1" applyFont="1" applyBorder="1" applyAlignment="1">
      <alignment vertical="center"/>
    </xf>
    <xf numFmtId="176" fontId="7" fillId="0" borderId="14" xfId="0" applyNumberFormat="1" applyFont="1" applyBorder="1" applyAlignment="1">
      <alignment vertical="center"/>
    </xf>
    <xf numFmtId="183" fontId="7" fillId="0" borderId="7" xfId="0" applyNumberFormat="1" applyFont="1" applyBorder="1" applyAlignment="1">
      <alignment vertical="center"/>
    </xf>
    <xf numFmtId="177" fontId="8" fillId="0" borderId="0" xfId="0" applyNumberFormat="1" applyFont="1" applyAlignment="1">
      <alignment vertical="center"/>
    </xf>
    <xf numFmtId="176" fontId="7" fillId="4" borderId="4" xfId="0" applyNumberFormat="1" applyFont="1" applyFill="1" applyBorder="1" applyAlignment="1">
      <alignment vertical="center"/>
    </xf>
    <xf numFmtId="176" fontId="7" fillId="3" borderId="9" xfId="0" applyNumberFormat="1" applyFont="1" applyFill="1" applyBorder="1" applyAlignment="1">
      <alignment vertical="center"/>
    </xf>
    <xf numFmtId="176" fontId="7" fillId="5" borderId="10" xfId="0" applyNumberFormat="1" applyFont="1" applyFill="1" applyBorder="1" applyAlignment="1">
      <alignment vertical="center"/>
    </xf>
    <xf numFmtId="178" fontId="7" fillId="5" borderId="10" xfId="0" applyNumberFormat="1" applyFont="1" applyFill="1" applyBorder="1" applyAlignment="1">
      <alignment horizontal="right" vertical="center" wrapText="1"/>
    </xf>
    <xf numFmtId="178" fontId="8" fillId="0" borderId="6" xfId="0" applyNumberFormat="1" applyFont="1" applyBorder="1" applyAlignment="1">
      <alignment horizontal="right" vertical="center"/>
    </xf>
    <xf numFmtId="178" fontId="7" fillId="0" borderId="6" xfId="0" applyNumberFormat="1" applyFont="1" applyBorder="1" applyAlignment="1">
      <alignment horizontal="right" vertical="center"/>
    </xf>
    <xf numFmtId="176" fontId="7" fillId="5" borderId="7" xfId="0" applyNumberFormat="1" applyFont="1" applyFill="1" applyBorder="1" applyAlignment="1">
      <alignment vertical="center"/>
    </xf>
    <xf numFmtId="178" fontId="7" fillId="5" borderId="7" xfId="0" applyNumberFormat="1" applyFont="1" applyFill="1" applyBorder="1" applyAlignment="1">
      <alignment horizontal="right" vertical="center" wrapText="1"/>
    </xf>
    <xf numFmtId="178" fontId="8" fillId="0" borderId="2" xfId="0" applyNumberFormat="1" applyFont="1" applyBorder="1" applyAlignment="1">
      <alignment horizontal="right" vertical="center"/>
    </xf>
    <xf numFmtId="178" fontId="7" fillId="0" borderId="2" xfId="0" applyNumberFormat="1" applyFont="1" applyBorder="1" applyAlignment="1">
      <alignment horizontal="right" vertical="center"/>
    </xf>
    <xf numFmtId="178" fontId="7" fillId="0" borderId="4" xfId="0" applyNumberFormat="1" applyFont="1" applyBorder="1" applyAlignment="1">
      <alignment horizontal="right" vertical="center"/>
    </xf>
    <xf numFmtId="178" fontId="8" fillId="0" borderId="4" xfId="0" applyNumberFormat="1" applyFont="1" applyBorder="1" applyAlignment="1">
      <alignment horizontal="right" vertical="center"/>
    </xf>
    <xf numFmtId="178" fontId="7" fillId="0" borderId="8" xfId="0" applyNumberFormat="1" applyFont="1" applyBorder="1" applyAlignment="1">
      <alignment vertical="center"/>
    </xf>
    <xf numFmtId="176" fontId="8" fillId="0" borderId="8" xfId="0" applyNumberFormat="1" applyFont="1" applyBorder="1" applyAlignment="1">
      <alignment vertical="center"/>
    </xf>
    <xf numFmtId="180" fontId="7" fillId="0" borderId="7" xfId="0" applyNumberFormat="1" applyFont="1" applyBorder="1" applyAlignment="1">
      <alignment vertical="center"/>
    </xf>
    <xf numFmtId="176" fontId="7" fillId="0" borderId="10" xfId="0" applyNumberFormat="1" applyFont="1" applyBorder="1" applyAlignment="1">
      <alignment vertical="center"/>
    </xf>
    <xf numFmtId="180" fontId="8" fillId="0" borderId="10" xfId="0" applyNumberFormat="1" applyFont="1" applyBorder="1" applyAlignment="1">
      <alignment vertical="center"/>
    </xf>
    <xf numFmtId="180" fontId="7" fillId="0" borderId="10" xfId="0" applyNumberFormat="1" applyFont="1" applyBorder="1" applyAlignment="1">
      <alignment vertical="center"/>
    </xf>
    <xf numFmtId="180" fontId="8" fillId="0" borderId="7" xfId="0" applyNumberFormat="1" applyFont="1" applyBorder="1" applyAlignment="1">
      <alignment vertical="center"/>
    </xf>
    <xf numFmtId="180" fontId="7" fillId="7" borderId="7" xfId="0" applyNumberFormat="1" applyFont="1" applyFill="1" applyBorder="1" applyAlignment="1">
      <alignment vertical="center"/>
    </xf>
    <xf numFmtId="178" fontId="7" fillId="7" borderId="6" xfId="0" applyNumberFormat="1" applyFont="1" applyFill="1" applyBorder="1" applyAlignment="1">
      <alignment vertical="center"/>
    </xf>
    <xf numFmtId="178" fontId="7" fillId="0" borderId="6" xfId="0" applyNumberFormat="1" applyFont="1" applyBorder="1" applyAlignment="1">
      <alignment vertical="center"/>
    </xf>
    <xf numFmtId="176" fontId="8" fillId="0" borderId="6" xfId="0" applyNumberFormat="1" applyFont="1" applyBorder="1" applyAlignment="1">
      <alignment vertical="center"/>
    </xf>
    <xf numFmtId="176" fontId="7" fillId="7" borderId="4" xfId="0" applyNumberFormat="1" applyFont="1" applyFill="1" applyBorder="1" applyAlignment="1">
      <alignment vertical="center"/>
    </xf>
    <xf numFmtId="177" fontId="7" fillId="0" borderId="8" xfId="0" applyNumberFormat="1" applyFont="1" applyBorder="1" applyAlignment="1">
      <alignment vertical="center"/>
    </xf>
    <xf numFmtId="41" fontId="7" fillId="0" borderId="7" xfId="1" applyFont="1" applyBorder="1" applyAlignment="1">
      <alignment vertical="center"/>
    </xf>
    <xf numFmtId="176" fontId="13" fillId="0" borderId="4" xfId="0" applyNumberFormat="1" applyFont="1" applyBorder="1" applyAlignment="1">
      <alignment vertical="center"/>
    </xf>
    <xf numFmtId="179" fontId="7" fillId="0" borderId="4" xfId="0" applyNumberFormat="1" applyFont="1" applyBorder="1" applyAlignment="1">
      <alignment vertical="center"/>
    </xf>
    <xf numFmtId="179" fontId="8" fillId="0" borderId="4" xfId="0" applyNumberFormat="1" applyFont="1" applyBorder="1" applyAlignment="1">
      <alignment vertical="center"/>
    </xf>
    <xf numFmtId="176" fontId="7" fillId="0" borderId="0" xfId="0" applyNumberFormat="1" applyFont="1" applyAlignment="1">
      <alignment horizontal="center" vertical="center" wrapText="1"/>
    </xf>
    <xf numFmtId="176" fontId="8" fillId="0" borderId="0" xfId="0" applyNumberFormat="1" applyFont="1" applyAlignment="1">
      <alignment horizontal="center" vertical="center" wrapText="1"/>
    </xf>
    <xf numFmtId="181" fontId="7" fillId="0" borderId="7" xfId="0" applyNumberFormat="1" applyFont="1" applyBorder="1" applyAlignment="1">
      <alignment vertical="center"/>
    </xf>
    <xf numFmtId="181" fontId="8" fillId="0" borderId="7" xfId="0" applyNumberFormat="1" applyFont="1" applyBorder="1" applyAlignment="1">
      <alignment vertical="center"/>
    </xf>
    <xf numFmtId="181" fontId="7" fillId="0" borderId="7" xfId="1" applyNumberFormat="1" applyFont="1" applyBorder="1" applyAlignment="1">
      <alignment vertical="center"/>
    </xf>
    <xf numFmtId="182" fontId="7" fillId="0" borderId="7" xfId="0" applyNumberFormat="1" applyFont="1" applyBorder="1" applyAlignment="1">
      <alignment vertical="center"/>
    </xf>
    <xf numFmtId="10" fontId="7" fillId="0" borderId="12" xfId="0" applyNumberFormat="1" applyFont="1" applyBorder="1" applyAlignment="1">
      <alignment vertical="center"/>
    </xf>
    <xf numFmtId="177" fontId="8" fillId="0" borderId="7" xfId="0" applyNumberFormat="1" applyFont="1" applyBorder="1" applyAlignment="1">
      <alignment vertical="center"/>
    </xf>
    <xf numFmtId="9" fontId="7" fillId="0" borderId="8" xfId="0" applyNumberFormat="1" applyFont="1" applyBorder="1" applyAlignment="1">
      <alignment vertical="center"/>
    </xf>
    <xf numFmtId="176" fontId="16" fillId="0" borderId="4" xfId="0" applyNumberFormat="1" applyFont="1" applyBorder="1" applyAlignment="1">
      <alignment vertical="center"/>
    </xf>
  </cellXfs>
  <cellStyles count="3">
    <cellStyle name="쉼표 [0]" xfId="1" builtinId="6"/>
    <cellStyle name="표준" xfId="0" builtinId="0"/>
    <cellStyle name="표준 2" xfId="2" xr:uid="{BD38B4EA-6493-40EB-A9C3-8A36D02486D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750"/>
  <sheetViews>
    <sheetView tabSelected="1" workbookViewId="0">
      <selection activeCell="B13" sqref="B13"/>
    </sheetView>
  </sheetViews>
  <sheetFormatPr defaultColWidth="14.44140625" defaultRowHeight="15" customHeight="1"/>
  <cols>
    <col min="1" max="1" width="10" style="3" customWidth="1"/>
    <col min="2" max="2" width="52.5546875" style="3" bestFit="1" customWidth="1"/>
    <col min="3" max="24" width="9.33203125" style="3" customWidth="1"/>
    <col min="25" max="25" width="6.88671875" style="3" customWidth="1"/>
    <col min="26" max="26" width="10.6640625" style="3" customWidth="1"/>
    <col min="27" max="32" width="7.6640625" style="3" customWidth="1"/>
    <col min="33" max="33" width="4.44140625" style="3" customWidth="1"/>
    <col min="34" max="34" width="10.6640625" style="3" customWidth="1"/>
    <col min="35" max="40" width="7.6640625" style="3" customWidth="1"/>
    <col min="41" max="41" width="2.6640625" style="3" customWidth="1"/>
    <col min="42" max="42" width="10.6640625" style="3" customWidth="1"/>
    <col min="43" max="47" width="7.6640625" style="3" customWidth="1"/>
    <col min="48" max="48" width="3.33203125" style="3" customWidth="1"/>
    <col min="49" max="49" width="10.6640625" style="3" customWidth="1"/>
    <col min="50" max="54" width="7.6640625" style="3" customWidth="1"/>
    <col min="55" max="55" width="14.33203125" style="3" customWidth="1"/>
    <col min="56" max="59" width="8.33203125" style="3" customWidth="1"/>
    <col min="60" max="60" width="9.33203125" style="3" customWidth="1"/>
    <col min="61" max="16384" width="14.44140625" style="3"/>
  </cols>
  <sheetData>
    <row r="1" spans="1:60" ht="24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2"/>
      <c r="M1" s="1"/>
      <c r="N1" s="1"/>
      <c r="O1" s="1"/>
      <c r="P1" s="1"/>
      <c r="Q1" s="1" t="s">
        <v>31</v>
      </c>
      <c r="R1" s="1" t="s">
        <v>30</v>
      </c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</row>
    <row r="2" spans="1:60" ht="24.75" customHeight="1">
      <c r="B2" s="4" t="s">
        <v>34</v>
      </c>
      <c r="C2" s="1"/>
      <c r="D2" s="1"/>
      <c r="E2" s="1"/>
      <c r="F2" s="1"/>
      <c r="G2" s="1"/>
      <c r="H2" s="1"/>
      <c r="I2" s="1"/>
      <c r="J2" s="1"/>
      <c r="K2" s="1"/>
      <c r="L2" s="2"/>
      <c r="M2" s="5"/>
      <c r="N2" s="1"/>
      <c r="O2" s="1"/>
      <c r="P2" s="1" t="s">
        <v>35</v>
      </c>
      <c r="Q2" s="5">
        <f>(X6-T6)/T6</f>
        <v>0.2646919149946575</v>
      </c>
      <c r="R2" s="5">
        <f>(X6-W6)/W6</f>
        <v>0.17961353191960577</v>
      </c>
      <c r="S2" s="1"/>
      <c r="T2" s="1"/>
      <c r="U2" s="1"/>
      <c r="V2" s="1"/>
      <c r="W2" s="1"/>
      <c r="X2" s="1"/>
      <c r="Y2" s="1"/>
      <c r="Z2" s="6" t="s">
        <v>36</v>
      </c>
      <c r="AA2" s="6">
        <v>17</v>
      </c>
      <c r="AB2" s="6">
        <v>18</v>
      </c>
      <c r="AC2" s="6">
        <v>19</v>
      </c>
      <c r="AD2" s="6">
        <v>20</v>
      </c>
      <c r="AE2" s="6">
        <v>21</v>
      </c>
      <c r="AF2" s="6">
        <v>22</v>
      </c>
      <c r="AG2" s="7"/>
      <c r="AH2" s="6" t="s">
        <v>37</v>
      </c>
      <c r="AI2" s="6">
        <v>17</v>
      </c>
      <c r="AJ2" s="6">
        <v>18</v>
      </c>
      <c r="AK2" s="6">
        <v>19</v>
      </c>
      <c r="AL2" s="6">
        <v>20</v>
      </c>
      <c r="AM2" s="6">
        <v>21</v>
      </c>
      <c r="AN2" s="6">
        <v>22</v>
      </c>
      <c r="AO2" s="7"/>
      <c r="AP2" s="6" t="s">
        <v>38</v>
      </c>
      <c r="AQ2" s="6">
        <v>17</v>
      </c>
      <c r="AR2" s="6">
        <v>18</v>
      </c>
      <c r="AS2" s="6">
        <v>19</v>
      </c>
      <c r="AT2" s="6">
        <v>20</v>
      </c>
      <c r="AU2" s="6">
        <v>21</v>
      </c>
      <c r="AV2" s="7"/>
      <c r="AW2" s="6" t="s">
        <v>39</v>
      </c>
      <c r="AX2" s="6">
        <v>17</v>
      </c>
      <c r="AY2" s="6">
        <v>18</v>
      </c>
      <c r="AZ2" s="6">
        <v>19</v>
      </c>
      <c r="BA2" s="6">
        <v>20</v>
      </c>
      <c r="BB2" s="6">
        <v>21</v>
      </c>
      <c r="BC2" s="1"/>
      <c r="BD2" s="1"/>
      <c r="BE2" s="1"/>
      <c r="BF2" s="1"/>
      <c r="BG2" s="1"/>
      <c r="BH2" s="1"/>
    </row>
    <row r="3" spans="1:60" ht="24.75" customHeight="1" thickTop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2"/>
      <c r="M3" s="1"/>
      <c r="N3" s="1"/>
      <c r="O3" s="1"/>
      <c r="P3" s="1" t="s">
        <v>40</v>
      </c>
      <c r="Q3" s="5">
        <f>(X15-T15)/T15</f>
        <v>0.34573874209155192</v>
      </c>
      <c r="R3" s="5">
        <f>(X15-W15)/W15</f>
        <v>2.0722175021240443</v>
      </c>
      <c r="S3" s="1"/>
      <c r="T3" s="1"/>
      <c r="U3" s="1"/>
      <c r="V3" s="5"/>
      <c r="W3" s="1"/>
      <c r="X3" s="1"/>
      <c r="Y3" s="1"/>
      <c r="Z3" s="8" t="s">
        <v>41</v>
      </c>
      <c r="AA3" s="8">
        <f t="shared" ref="AA3" si="0">C6</f>
        <v>10835</v>
      </c>
      <c r="AB3" s="8">
        <f t="shared" ref="AB3" si="1">G6</f>
        <v>10623</v>
      </c>
      <c r="AC3" s="8">
        <f t="shared" ref="AC3" si="2">K6</f>
        <v>14752</v>
      </c>
      <c r="AD3" s="8">
        <f t="shared" ref="AD3" si="3">O6</f>
        <v>19120</v>
      </c>
      <c r="AE3" s="8">
        <f t="shared" ref="AE3" si="4">S6</f>
        <v>15624</v>
      </c>
      <c r="AF3" s="8">
        <f t="shared" ref="AF3" si="5">W6</f>
        <v>18061</v>
      </c>
      <c r="AG3" s="1"/>
      <c r="AH3" s="8" t="s">
        <v>41</v>
      </c>
      <c r="AI3" s="8">
        <f t="shared" ref="AI3" si="6">D6</f>
        <v>20828</v>
      </c>
      <c r="AJ3" s="8">
        <f t="shared" ref="AJ3" si="7">H6</f>
        <v>14015</v>
      </c>
      <c r="AK3" s="8">
        <f t="shared" ref="AK3" si="8">L6</f>
        <v>22439</v>
      </c>
      <c r="AL3" s="8">
        <f t="shared" ref="AL3" si="9">P6</f>
        <v>25765</v>
      </c>
      <c r="AM3" s="8">
        <f t="shared" ref="AM3" si="10">T6</f>
        <v>16846</v>
      </c>
      <c r="AN3" s="8">
        <f t="shared" ref="AN3" si="11">X6</f>
        <v>21305</v>
      </c>
      <c r="AO3" s="5"/>
      <c r="AP3" s="8" t="s">
        <v>41</v>
      </c>
      <c r="AQ3" s="8">
        <f t="shared" ref="AQ3" si="12">E6</f>
        <v>17648</v>
      </c>
      <c r="AR3" s="8">
        <f t="shared" ref="AR3" si="13">I6</f>
        <v>17240</v>
      </c>
      <c r="AS3" s="8">
        <f t="shared" ref="AS3" si="14">M6</f>
        <v>18627</v>
      </c>
      <c r="AT3" s="8">
        <f t="shared" ref="AT3" si="15">Q6</f>
        <v>20890</v>
      </c>
      <c r="AU3" s="8">
        <f t="shared" ref="AU3" si="16">U6</f>
        <v>18897</v>
      </c>
      <c r="AV3" s="1"/>
      <c r="AW3" s="8" t="s">
        <v>41</v>
      </c>
      <c r="AX3" s="8">
        <f t="shared" ref="AX3" si="17">F6</f>
        <v>16554</v>
      </c>
      <c r="AY3" s="8">
        <f t="shared" ref="AY3" si="18">J6</f>
        <v>24033</v>
      </c>
      <c r="AZ3" s="8">
        <f t="shared" ref="AZ3" si="19">N6</f>
        <v>19171</v>
      </c>
      <c r="BA3" s="8">
        <f t="shared" ref="BA3" si="20">R6</f>
        <v>25066</v>
      </c>
      <c r="BB3" s="8">
        <f t="shared" ref="BB3" si="21">V6</f>
        <v>27375</v>
      </c>
      <c r="BC3" s="1"/>
      <c r="BD3" s="1"/>
      <c r="BE3" s="1"/>
      <c r="BF3" s="1"/>
      <c r="BG3" s="1"/>
      <c r="BH3" s="1"/>
    </row>
    <row r="4" spans="1:60" ht="24.75" customHeight="1">
      <c r="A4" s="1"/>
      <c r="B4" s="1" t="s">
        <v>42</v>
      </c>
      <c r="C4" s="1"/>
      <c r="D4" s="1"/>
      <c r="E4" s="1"/>
      <c r="F4" s="1"/>
      <c r="G4" s="1"/>
      <c r="H4" s="1"/>
      <c r="I4" s="1"/>
      <c r="J4" s="1"/>
      <c r="K4" s="9"/>
      <c r="L4" s="10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1" t="s">
        <v>43</v>
      </c>
      <c r="AA4" s="12"/>
      <c r="AB4" s="13">
        <f>(AB3-AA3)/AA3</f>
        <v>-1.9566220581449009E-2</v>
      </c>
      <c r="AC4" s="13">
        <f t="shared" ref="AC4:AF4" si="22">(AC3-AB3)/AB3</f>
        <v>0.38868492892779816</v>
      </c>
      <c r="AD4" s="13">
        <f t="shared" si="22"/>
        <v>0.29609544468546639</v>
      </c>
      <c r="AE4" s="13">
        <f t="shared" si="22"/>
        <v>-0.18284518828451882</v>
      </c>
      <c r="AF4" s="13">
        <f t="shared" si="22"/>
        <v>0.15597798259088583</v>
      </c>
      <c r="AH4" s="11" t="s">
        <v>43</v>
      </c>
      <c r="AI4" s="12"/>
      <c r="AJ4" s="13">
        <f>(AJ3-AI3)/AI3</f>
        <v>-0.32710773958133282</v>
      </c>
      <c r="AK4" s="13">
        <f t="shared" ref="AK4" si="23">(AK3-AJ3)/AJ3</f>
        <v>0.60107028184088473</v>
      </c>
      <c r="AL4" s="13">
        <f t="shared" ref="AL4" si="24">(AL3-AK3)/AK3</f>
        <v>0.14822407415660235</v>
      </c>
      <c r="AM4" s="13">
        <f t="shared" ref="AM4" si="25">(AM3-AL3)/AL3</f>
        <v>-0.34616728119542012</v>
      </c>
      <c r="AN4" s="13">
        <f t="shared" ref="AN4" si="26">(AN3-AM3)/AM3</f>
        <v>0.2646919149946575</v>
      </c>
      <c r="AP4" s="11" t="s">
        <v>43</v>
      </c>
      <c r="AQ4" s="12"/>
      <c r="AR4" s="13">
        <f>(AR3-AQ3)/AQ3</f>
        <v>-2.3118766999093383E-2</v>
      </c>
      <c r="AS4" s="13">
        <f t="shared" ref="AS4" si="27">(AS3-AR3)/AR3</f>
        <v>8.0452436194895588E-2</v>
      </c>
      <c r="AT4" s="13">
        <f t="shared" ref="AT4" si="28">(AT3-AS3)/AS3</f>
        <v>0.12149030976539432</v>
      </c>
      <c r="AU4" s="13">
        <f t="shared" ref="AU4" si="29">(AU3-AT3)/AT3</f>
        <v>-9.5404499760651032E-2</v>
      </c>
      <c r="AV4" s="5"/>
      <c r="AW4" s="11" t="s">
        <v>43</v>
      </c>
      <c r="AX4" s="12"/>
      <c r="AY4" s="13">
        <f>(AY3-AX3)/AX3</f>
        <v>0.45179412830735771</v>
      </c>
      <c r="AZ4" s="13">
        <f t="shared" ref="AZ4" si="30">(AZ3-AY3)/AY3</f>
        <v>-0.20230516373320018</v>
      </c>
      <c r="BA4" s="13">
        <f t="shared" ref="BA4" si="31">(BA3-AZ3)/AZ3</f>
        <v>0.30749569662511084</v>
      </c>
      <c r="BB4" s="13">
        <f t="shared" ref="BB4" si="32">(BB3-BA3)/BA3</f>
        <v>9.2116811617330249E-2</v>
      </c>
      <c r="BC4" s="5"/>
      <c r="BD4" s="1"/>
      <c r="BE4" s="1"/>
      <c r="BF4" s="1"/>
      <c r="BG4" s="1"/>
      <c r="BH4" s="1"/>
    </row>
    <row r="5" spans="1:60" ht="24.75" customHeight="1" thickBot="1">
      <c r="A5" s="1"/>
      <c r="B5" s="14" t="s">
        <v>44</v>
      </c>
      <c r="C5" s="15" t="s">
        <v>0</v>
      </c>
      <c r="D5" s="15" t="s">
        <v>1</v>
      </c>
      <c r="E5" s="15" t="s">
        <v>2</v>
      </c>
      <c r="F5" s="15" t="s">
        <v>3</v>
      </c>
      <c r="G5" s="15" t="s">
        <v>4</v>
      </c>
      <c r="H5" s="15" t="s">
        <v>5</v>
      </c>
      <c r="I5" s="15" t="s">
        <v>6</v>
      </c>
      <c r="J5" s="15" t="s">
        <v>7</v>
      </c>
      <c r="K5" s="16" t="s">
        <v>8</v>
      </c>
      <c r="L5" s="17" t="s">
        <v>9</v>
      </c>
      <c r="M5" s="15" t="s">
        <v>10</v>
      </c>
      <c r="N5" s="15" t="s">
        <v>11</v>
      </c>
      <c r="O5" s="15" t="s">
        <v>12</v>
      </c>
      <c r="P5" s="15" t="s">
        <v>13</v>
      </c>
      <c r="Q5" s="15" t="s">
        <v>14</v>
      </c>
      <c r="R5" s="15" t="s">
        <v>15</v>
      </c>
      <c r="S5" s="15" t="s">
        <v>16</v>
      </c>
      <c r="T5" s="15" t="s">
        <v>17</v>
      </c>
      <c r="U5" s="15" t="s">
        <v>18</v>
      </c>
      <c r="V5" s="15" t="s">
        <v>19</v>
      </c>
      <c r="W5" s="15" t="s">
        <v>20</v>
      </c>
      <c r="X5" s="15" t="s">
        <v>21</v>
      </c>
      <c r="Y5" s="1"/>
      <c r="Z5" s="18" t="s">
        <v>45</v>
      </c>
      <c r="AA5" s="18">
        <f>C8</f>
        <v>7881</v>
      </c>
      <c r="AB5" s="18">
        <f>G8</f>
        <v>7697</v>
      </c>
      <c r="AC5" s="18">
        <f>K8</f>
        <v>10617</v>
      </c>
      <c r="AD5" s="18">
        <f>O8</f>
        <v>14864</v>
      </c>
      <c r="AE5" s="18">
        <f>S8</f>
        <v>11955</v>
      </c>
      <c r="AF5" s="18">
        <f>W8</f>
        <v>14174</v>
      </c>
      <c r="AG5" s="1"/>
      <c r="AH5" s="18" t="s">
        <v>45</v>
      </c>
      <c r="AI5" s="18">
        <f>D8</f>
        <v>14287</v>
      </c>
      <c r="AJ5" s="18">
        <f>H8</f>
        <v>10347</v>
      </c>
      <c r="AK5" s="18">
        <f>L8</f>
        <v>15575</v>
      </c>
      <c r="AL5" s="18">
        <f>P8</f>
        <v>19356</v>
      </c>
      <c r="AM5" s="18">
        <f>T8</f>
        <v>11654</v>
      </c>
      <c r="AN5" s="18">
        <f>X8</f>
        <v>14857</v>
      </c>
      <c r="AO5" s="1"/>
      <c r="AP5" s="18" t="s">
        <v>45</v>
      </c>
      <c r="AQ5" s="18">
        <f>E8</f>
        <v>13138</v>
      </c>
      <c r="AR5" s="18">
        <f>I8</f>
        <v>11394</v>
      </c>
      <c r="AS5" s="18">
        <f>M8</f>
        <v>12669</v>
      </c>
      <c r="AT5" s="18">
        <f>Q8</f>
        <v>14836</v>
      </c>
      <c r="AU5" s="18">
        <f>U8</f>
        <v>13818</v>
      </c>
      <c r="AV5" s="1"/>
      <c r="AW5" s="18" t="s">
        <v>45</v>
      </c>
      <c r="AX5" s="18">
        <f>F8</f>
        <v>12162</v>
      </c>
      <c r="AY5" s="18">
        <f>J8</f>
        <v>16782</v>
      </c>
      <c r="AZ5" s="18">
        <f>N8</f>
        <v>14072</v>
      </c>
      <c r="BA5" s="18">
        <f>R8</f>
        <v>19225</v>
      </c>
      <c r="BB5" s="18">
        <f>V8</f>
        <v>20041</v>
      </c>
      <c r="BC5" s="1"/>
      <c r="BD5" s="1"/>
      <c r="BE5" s="1"/>
      <c r="BF5" s="1"/>
      <c r="BG5" s="1"/>
      <c r="BH5" s="1"/>
    </row>
    <row r="6" spans="1:60" ht="24.75" customHeight="1" thickTop="1">
      <c r="A6" s="1"/>
      <c r="B6" s="18" t="s">
        <v>41</v>
      </c>
      <c r="C6" s="19">
        <v>10835</v>
      </c>
      <c r="D6" s="19">
        <v>20828</v>
      </c>
      <c r="E6" s="19">
        <v>17648</v>
      </c>
      <c r="F6" s="19">
        <f>65865-E6-D6-C6</f>
        <v>16554</v>
      </c>
      <c r="G6" s="19">
        <v>10623</v>
      </c>
      <c r="H6" s="19">
        <v>14015</v>
      </c>
      <c r="I6" s="19">
        <v>17240</v>
      </c>
      <c r="J6" s="19">
        <f>65911-I6-H6-G6</f>
        <v>24033</v>
      </c>
      <c r="K6" s="19">
        <v>14752</v>
      </c>
      <c r="L6" s="19">
        <v>22439</v>
      </c>
      <c r="M6" s="19">
        <v>18627</v>
      </c>
      <c r="N6" s="19">
        <f>74989-M6-L6-K6</f>
        <v>19171</v>
      </c>
      <c r="O6" s="19">
        <v>19120</v>
      </c>
      <c r="P6" s="19">
        <v>25765</v>
      </c>
      <c r="Q6" s="19">
        <v>20890</v>
      </c>
      <c r="R6" s="19">
        <f>90841-Q6-P6-O6</f>
        <v>25066</v>
      </c>
      <c r="S6" s="18">
        <v>15624</v>
      </c>
      <c r="T6" s="18">
        <v>16846</v>
      </c>
      <c r="U6" s="18">
        <v>18897</v>
      </c>
      <c r="V6" s="18">
        <f>78742-U6-T6-S6</f>
        <v>27375</v>
      </c>
      <c r="W6" s="18">
        <v>18061</v>
      </c>
      <c r="X6" s="20">
        <v>21305</v>
      </c>
      <c r="Y6" s="21"/>
      <c r="Z6" s="22" t="s">
        <v>46</v>
      </c>
      <c r="AA6" s="22">
        <f>C10</f>
        <v>2954</v>
      </c>
      <c r="AB6" s="22">
        <f>G10</f>
        <v>2926</v>
      </c>
      <c r="AC6" s="22">
        <f>K10</f>
        <v>4135</v>
      </c>
      <c r="AD6" s="22">
        <f>O10</f>
        <v>4256</v>
      </c>
      <c r="AE6" s="22">
        <f>S10</f>
        <v>3669</v>
      </c>
      <c r="AF6" s="22">
        <f>W10</f>
        <v>3887</v>
      </c>
      <c r="AG6" s="1"/>
      <c r="AH6" s="22" t="s">
        <v>46</v>
      </c>
      <c r="AI6" s="22">
        <f>D10</f>
        <v>6541</v>
      </c>
      <c r="AJ6" s="22">
        <f>H10</f>
        <v>3668</v>
      </c>
      <c r="AK6" s="22">
        <f>L10</f>
        <v>6864</v>
      </c>
      <c r="AL6" s="22">
        <f>P10</f>
        <v>6409</v>
      </c>
      <c r="AM6" s="18">
        <f>T10</f>
        <v>5192</v>
      </c>
      <c r="AN6" s="18">
        <f>AN3-AN5</f>
        <v>6448</v>
      </c>
      <c r="AO6" s="1"/>
      <c r="AP6" s="22" t="s">
        <v>46</v>
      </c>
      <c r="AQ6" s="22">
        <f>E10</f>
        <v>4510</v>
      </c>
      <c r="AR6" s="22">
        <f>I10</f>
        <v>5846</v>
      </c>
      <c r="AS6" s="22">
        <f>M10</f>
        <v>5958</v>
      </c>
      <c r="AT6" s="22">
        <f>Q10</f>
        <v>6054</v>
      </c>
      <c r="AU6" s="18">
        <f>U10</f>
        <v>5079</v>
      </c>
      <c r="AV6" s="1"/>
      <c r="AW6" s="22" t="s">
        <v>46</v>
      </c>
      <c r="AX6" s="22">
        <f>F10</f>
        <v>4392</v>
      </c>
      <c r="AY6" s="22">
        <f>J10</f>
        <v>7251</v>
      </c>
      <c r="AZ6" s="22">
        <f>N10</f>
        <v>5099</v>
      </c>
      <c r="BA6" s="22">
        <f>R10</f>
        <v>5841</v>
      </c>
      <c r="BB6" s="18">
        <f>V10</f>
        <v>7334</v>
      </c>
      <c r="BC6" s="1"/>
      <c r="BD6" s="1"/>
      <c r="BE6" s="1"/>
      <c r="BF6" s="1"/>
      <c r="BG6" s="1"/>
      <c r="BH6" s="1"/>
    </row>
    <row r="7" spans="1:60" ht="24.75" customHeight="1">
      <c r="A7" s="1"/>
      <c r="B7" s="23" t="s">
        <v>47</v>
      </c>
      <c r="C7" s="24"/>
      <c r="D7" s="25">
        <f>(D6-C6)/C6</f>
        <v>0.92228887863405629</v>
      </c>
      <c r="E7" s="25">
        <f t="shared" ref="E7:W7" si="33">(E6-D6)/D6</f>
        <v>-0.15267908584597656</v>
      </c>
      <c r="F7" s="25">
        <f t="shared" si="33"/>
        <v>-6.1990027198549409E-2</v>
      </c>
      <c r="G7" s="25">
        <f t="shared" si="33"/>
        <v>-0.35828198622689378</v>
      </c>
      <c r="H7" s="25">
        <f t="shared" si="33"/>
        <v>0.31930716370140261</v>
      </c>
      <c r="I7" s="25">
        <f t="shared" si="33"/>
        <v>0.23011059579022475</v>
      </c>
      <c r="J7" s="25">
        <f t="shared" si="33"/>
        <v>0.39402552204176333</v>
      </c>
      <c r="K7" s="25">
        <f t="shared" si="33"/>
        <v>-0.38617733949153249</v>
      </c>
      <c r="L7" s="25">
        <f t="shared" si="33"/>
        <v>0.52108188720173532</v>
      </c>
      <c r="M7" s="25">
        <f t="shared" si="33"/>
        <v>-0.16988279335086234</v>
      </c>
      <c r="N7" s="25">
        <f t="shared" si="33"/>
        <v>2.9204917592741721E-2</v>
      </c>
      <c r="O7" s="25">
        <f t="shared" si="33"/>
        <v>-2.6602681132961241E-3</v>
      </c>
      <c r="P7" s="25">
        <f t="shared" si="33"/>
        <v>0.34754184100418412</v>
      </c>
      <c r="Q7" s="25">
        <f t="shared" si="33"/>
        <v>-0.1892101688336891</v>
      </c>
      <c r="R7" s="25">
        <f t="shared" si="33"/>
        <v>0.19990426041168022</v>
      </c>
      <c r="S7" s="25">
        <f t="shared" si="33"/>
        <v>-0.37668555014761029</v>
      </c>
      <c r="T7" s="25">
        <f t="shared" si="33"/>
        <v>7.8213005632360472E-2</v>
      </c>
      <c r="U7" s="25">
        <f t="shared" si="33"/>
        <v>0.12174997031936365</v>
      </c>
      <c r="V7" s="25">
        <f t="shared" si="33"/>
        <v>0.44864264168915702</v>
      </c>
      <c r="W7" s="25">
        <f t="shared" si="33"/>
        <v>-0.34023744292237446</v>
      </c>
      <c r="X7" s="25">
        <f>(X6-W6)/W6</f>
        <v>0.17961353191960577</v>
      </c>
      <c r="Y7" s="21"/>
      <c r="Z7" s="22" t="s">
        <v>22</v>
      </c>
      <c r="AA7" s="26">
        <f>C11</f>
        <v>0.27263497923396401</v>
      </c>
      <c r="AB7" s="26">
        <f>G11</f>
        <v>0.27544008283912264</v>
      </c>
      <c r="AC7" s="26">
        <f>K11</f>
        <v>0.28030097613882865</v>
      </c>
      <c r="AD7" s="26">
        <f>O11</f>
        <v>0.22259414225941423</v>
      </c>
      <c r="AE7" s="26">
        <f>S11</f>
        <v>0.2348310291858679</v>
      </c>
      <c r="AF7" s="26">
        <f>W11</f>
        <v>0.21521510436852886</v>
      </c>
      <c r="AG7" s="1"/>
      <c r="AH7" s="22" t="s">
        <v>22</v>
      </c>
      <c r="AI7" s="26">
        <f>D11</f>
        <v>0.31404839638947568</v>
      </c>
      <c r="AJ7" s="26">
        <f>H11</f>
        <v>0.2617195861576882</v>
      </c>
      <c r="AK7" s="26">
        <f>L11</f>
        <v>0.30589598466954854</v>
      </c>
      <c r="AL7" s="26">
        <f>P11</f>
        <v>0.24874830196002329</v>
      </c>
      <c r="AM7" s="26">
        <f>AM6/AM3</f>
        <v>0.30820372788792594</v>
      </c>
      <c r="AN7" s="26">
        <f>AN6/AN3</f>
        <v>0.30265195963388875</v>
      </c>
      <c r="AO7" s="5"/>
      <c r="AP7" s="22" t="s">
        <v>22</v>
      </c>
      <c r="AQ7" s="26">
        <f>E11</f>
        <v>0.25555303717135086</v>
      </c>
      <c r="AR7" s="26">
        <f>I11</f>
        <v>0.33909512761020882</v>
      </c>
      <c r="AS7" s="26">
        <f>M11</f>
        <v>0.31985827025285873</v>
      </c>
      <c r="AT7" s="26">
        <f>Q11</f>
        <v>0.28980373384394448</v>
      </c>
      <c r="AU7" s="27">
        <f>U11</f>
        <v>0.26877282108271155</v>
      </c>
      <c r="AV7" s="1"/>
      <c r="AW7" s="22" t="s">
        <v>22</v>
      </c>
      <c r="AX7" s="26">
        <f>F11</f>
        <v>0.26531351939108372</v>
      </c>
      <c r="AY7" s="26">
        <f>J11</f>
        <v>0.30171014854574957</v>
      </c>
      <c r="AZ7" s="26">
        <f>N11</f>
        <v>0.2659746492097439</v>
      </c>
      <c r="BA7" s="26">
        <f>R11</f>
        <v>0.23302481448974707</v>
      </c>
      <c r="BB7" s="27">
        <f>V11</f>
        <v>0.26790867579908678</v>
      </c>
      <c r="BC7" s="1"/>
      <c r="BD7" s="1"/>
      <c r="BE7" s="1"/>
      <c r="BF7" s="1"/>
      <c r="BG7" s="1"/>
      <c r="BH7" s="1"/>
    </row>
    <row r="8" spans="1:60" ht="24.75" customHeight="1">
      <c r="A8" s="1"/>
      <c r="B8" s="22" t="s">
        <v>45</v>
      </c>
      <c r="C8" s="28">
        <v>7881</v>
      </c>
      <c r="D8" s="28">
        <v>14287</v>
      </c>
      <c r="E8" s="28">
        <v>13138</v>
      </c>
      <c r="F8" s="28">
        <f>47468-E8-D8-C8</f>
        <v>12162</v>
      </c>
      <c r="G8" s="28">
        <v>7697</v>
      </c>
      <c r="H8" s="28">
        <v>10347</v>
      </c>
      <c r="I8" s="28">
        <v>11394</v>
      </c>
      <c r="J8" s="28">
        <f>46220-I8-H8-G8</f>
        <v>16782</v>
      </c>
      <c r="K8" s="28">
        <v>10617</v>
      </c>
      <c r="L8" s="28">
        <v>15575</v>
      </c>
      <c r="M8" s="28">
        <v>12669</v>
      </c>
      <c r="N8" s="28">
        <f>52933-M8-L8-K8</f>
        <v>14072</v>
      </c>
      <c r="O8" s="28">
        <v>14864</v>
      </c>
      <c r="P8" s="28">
        <v>19356</v>
      </c>
      <c r="Q8" s="28">
        <v>14836</v>
      </c>
      <c r="R8" s="28">
        <f>68281-Q8-O8-P8</f>
        <v>19225</v>
      </c>
      <c r="S8" s="29">
        <v>11955</v>
      </c>
      <c r="T8" s="29">
        <v>11654</v>
      </c>
      <c r="U8" s="29">
        <v>13818</v>
      </c>
      <c r="V8" s="29">
        <f>57468-U8-T8-S8</f>
        <v>20041</v>
      </c>
      <c r="W8" s="29">
        <v>14174</v>
      </c>
      <c r="X8" s="29">
        <v>14857</v>
      </c>
      <c r="Y8" s="1"/>
      <c r="Z8" s="22" t="s">
        <v>48</v>
      </c>
      <c r="AA8" s="22">
        <f>C12</f>
        <v>2261</v>
      </c>
      <c r="AB8" s="22">
        <f>G12</f>
        <v>2232</v>
      </c>
      <c r="AC8" s="22">
        <f>K12</f>
        <v>2415</v>
      </c>
      <c r="AD8" s="22">
        <f>O12</f>
        <v>2658</v>
      </c>
      <c r="AE8" s="22">
        <f>S12</f>
        <v>2469</v>
      </c>
      <c r="AF8" s="22">
        <f>W12</f>
        <v>2710</v>
      </c>
      <c r="AG8" s="1"/>
      <c r="AH8" s="22" t="s">
        <v>48</v>
      </c>
      <c r="AI8" s="22">
        <f>D12</f>
        <v>3007</v>
      </c>
      <c r="AJ8" s="22">
        <f>H12</f>
        <v>2495</v>
      </c>
      <c r="AK8" s="22">
        <f>L12</f>
        <v>2759</v>
      </c>
      <c r="AL8" s="22">
        <f>P12</f>
        <v>2658</v>
      </c>
      <c r="AM8" s="18">
        <f>T12</f>
        <v>2505</v>
      </c>
      <c r="AN8" s="18">
        <f>X12</f>
        <v>2832</v>
      </c>
      <c r="AO8" s="1"/>
      <c r="AP8" s="22" t="s">
        <v>48</v>
      </c>
      <c r="AQ8" s="22">
        <f>E12</f>
        <v>2649</v>
      </c>
      <c r="AR8" s="22">
        <f>I12</f>
        <v>2593</v>
      </c>
      <c r="AS8" s="22">
        <f>M12</f>
        <v>2720</v>
      </c>
      <c r="AT8" s="22">
        <f>Q12</f>
        <v>2811</v>
      </c>
      <c r="AU8" s="18">
        <f>U12</f>
        <v>2805</v>
      </c>
      <c r="AV8" s="1"/>
      <c r="AW8" s="22" t="s">
        <v>48</v>
      </c>
      <c r="AX8" s="22">
        <f>F12</f>
        <v>3008</v>
      </c>
      <c r="AY8" s="22">
        <f>J12</f>
        <v>3260</v>
      </c>
      <c r="AZ8" s="22">
        <f>N12</f>
        <v>4052</v>
      </c>
      <c r="BA8" s="22">
        <f>R12</f>
        <v>4097</v>
      </c>
      <c r="BB8" s="18">
        <f>V12</f>
        <v>4961</v>
      </c>
      <c r="BC8" s="1"/>
      <c r="BD8" s="1"/>
      <c r="BE8" s="1"/>
      <c r="BF8" s="1"/>
      <c r="BG8" s="1"/>
      <c r="BH8" s="1"/>
    </row>
    <row r="9" spans="1:60" ht="24.75" customHeight="1">
      <c r="A9" s="1"/>
      <c r="B9" s="22" t="s">
        <v>49</v>
      </c>
      <c r="C9" s="30">
        <f>C8/C6</f>
        <v>0.72736502076603604</v>
      </c>
      <c r="D9" s="30">
        <f t="shared" ref="D9:X9" si="34">D8/D6</f>
        <v>0.68595160361052432</v>
      </c>
      <c r="E9" s="30">
        <f t="shared" si="34"/>
        <v>0.74444696282864908</v>
      </c>
      <c r="F9" s="30">
        <f t="shared" si="34"/>
        <v>0.73468648060891628</v>
      </c>
      <c r="G9" s="30">
        <f>G8/G6</f>
        <v>0.72455991716087731</v>
      </c>
      <c r="H9" s="30">
        <f t="shared" ref="H9" si="35">H8/H6</f>
        <v>0.7382804138423118</v>
      </c>
      <c r="I9" s="30">
        <f t="shared" ref="I9" si="36">I8/I6</f>
        <v>0.66090487238979123</v>
      </c>
      <c r="J9" s="30">
        <f t="shared" si="34"/>
        <v>0.69828985145425038</v>
      </c>
      <c r="K9" s="30">
        <f t="shared" si="34"/>
        <v>0.71969902386117135</v>
      </c>
      <c r="L9" s="30">
        <f t="shared" si="34"/>
        <v>0.69410401533045141</v>
      </c>
      <c r="M9" s="30">
        <f t="shared" si="34"/>
        <v>0.68014172974714127</v>
      </c>
      <c r="N9" s="30">
        <f t="shared" si="34"/>
        <v>0.7340253507902561</v>
      </c>
      <c r="O9" s="30">
        <f t="shared" si="34"/>
        <v>0.77740585774058579</v>
      </c>
      <c r="P9" s="30">
        <f t="shared" si="34"/>
        <v>0.75125169803997671</v>
      </c>
      <c r="Q9" s="30">
        <f t="shared" si="34"/>
        <v>0.71019626615605558</v>
      </c>
      <c r="R9" s="30">
        <f t="shared" si="34"/>
        <v>0.7669751855102529</v>
      </c>
      <c r="S9" s="30">
        <f t="shared" si="34"/>
        <v>0.76516897081413215</v>
      </c>
      <c r="T9" s="30">
        <f t="shared" si="34"/>
        <v>0.69179627211207406</v>
      </c>
      <c r="U9" s="30">
        <f t="shared" si="34"/>
        <v>0.7312271789172885</v>
      </c>
      <c r="V9" s="30">
        <f t="shared" si="34"/>
        <v>0.73209132420091327</v>
      </c>
      <c r="W9" s="30">
        <f t="shared" si="34"/>
        <v>0.78478489563147114</v>
      </c>
      <c r="X9" s="30">
        <f t="shared" si="34"/>
        <v>0.6973480403661112</v>
      </c>
      <c r="Y9" s="1"/>
      <c r="Z9" s="22" t="s">
        <v>50</v>
      </c>
      <c r="AA9" s="26">
        <f>C13</f>
        <v>0.20867558837101985</v>
      </c>
      <c r="AB9" s="26">
        <f>G13</f>
        <v>0.21011013837898898</v>
      </c>
      <c r="AC9" s="26">
        <f>K13</f>
        <v>0.16370661605206074</v>
      </c>
      <c r="AD9" s="26">
        <f>O13</f>
        <v>0.13901673640167364</v>
      </c>
      <c r="AE9" s="26">
        <f>S13</f>
        <v>0.15802611367127495</v>
      </c>
      <c r="AF9" s="26">
        <f>W13</f>
        <v>0.15004706273185317</v>
      </c>
      <c r="AG9" s="1"/>
      <c r="AH9" s="22" t="s">
        <v>50</v>
      </c>
      <c r="AI9" s="26">
        <f>D13</f>
        <v>0.14437295947762627</v>
      </c>
      <c r="AJ9" s="26">
        <f>H13</f>
        <v>0.17802354620049946</v>
      </c>
      <c r="AK9" s="26">
        <f>L13</f>
        <v>0.12295556842996569</v>
      </c>
      <c r="AL9" s="26">
        <f>P13</f>
        <v>0.10316320589947603</v>
      </c>
      <c r="AM9" s="26">
        <f>AM8/AM3</f>
        <v>0.14869998812774546</v>
      </c>
      <c r="AN9" s="26">
        <f>AN8/AN3</f>
        <v>0.1329265430650082</v>
      </c>
      <c r="AO9" s="5"/>
      <c r="AP9" s="22" t="s">
        <v>50</v>
      </c>
      <c r="AQ9" s="26">
        <f>E13</f>
        <v>0.15010199456029011</v>
      </c>
      <c r="AR9" s="26">
        <f>I13</f>
        <v>0.1504060324825986</v>
      </c>
      <c r="AS9" s="26">
        <f>M13</f>
        <v>0.1460245879637086</v>
      </c>
      <c r="AT9" s="26">
        <f>Q13</f>
        <v>0.13456199138343705</v>
      </c>
      <c r="AU9" s="27">
        <f>U13</f>
        <v>0.14843625972376567</v>
      </c>
      <c r="AV9" s="1"/>
      <c r="AW9" s="22" t="s">
        <v>50</v>
      </c>
      <c r="AX9" s="26">
        <f>F13</f>
        <v>0.18170834843542347</v>
      </c>
      <c r="AY9" s="26">
        <f>J13</f>
        <v>0.1356468189572671</v>
      </c>
      <c r="AZ9" s="26">
        <f>N13</f>
        <v>0.21136090970737051</v>
      </c>
      <c r="BA9" s="26">
        <f>R13</f>
        <v>0.16344849597063751</v>
      </c>
      <c r="BB9" s="27">
        <f>V13</f>
        <v>0.18122374429223745</v>
      </c>
      <c r="BC9" s="1"/>
      <c r="BD9" s="1"/>
      <c r="BE9" s="1"/>
      <c r="BF9" s="1"/>
      <c r="BG9" s="1"/>
      <c r="BH9" s="1"/>
    </row>
    <row r="10" spans="1:60" ht="24.75" customHeight="1">
      <c r="A10" s="1"/>
      <c r="B10" s="22" t="s">
        <v>46</v>
      </c>
      <c r="C10" s="31">
        <f t="shared" ref="C10:X10" si="37">C6-C8</f>
        <v>2954</v>
      </c>
      <c r="D10" s="31">
        <f t="shared" si="37"/>
        <v>6541</v>
      </c>
      <c r="E10" s="31">
        <f t="shared" si="37"/>
        <v>4510</v>
      </c>
      <c r="F10" s="31">
        <f t="shared" si="37"/>
        <v>4392</v>
      </c>
      <c r="G10" s="31">
        <f t="shared" si="37"/>
        <v>2926</v>
      </c>
      <c r="H10" s="31">
        <f t="shared" si="37"/>
        <v>3668</v>
      </c>
      <c r="I10" s="31">
        <f t="shared" si="37"/>
        <v>5846</v>
      </c>
      <c r="J10" s="31">
        <f t="shared" si="37"/>
        <v>7251</v>
      </c>
      <c r="K10" s="31">
        <f t="shared" si="37"/>
        <v>4135</v>
      </c>
      <c r="L10" s="32">
        <f t="shared" si="37"/>
        <v>6864</v>
      </c>
      <c r="M10" s="31">
        <f t="shared" si="37"/>
        <v>5958</v>
      </c>
      <c r="N10" s="31">
        <f t="shared" si="37"/>
        <v>5099</v>
      </c>
      <c r="O10" s="31">
        <f t="shared" si="37"/>
        <v>4256</v>
      </c>
      <c r="P10" s="31">
        <f t="shared" si="37"/>
        <v>6409</v>
      </c>
      <c r="Q10" s="31">
        <f t="shared" si="37"/>
        <v>6054</v>
      </c>
      <c r="R10" s="31">
        <f t="shared" si="37"/>
        <v>5841</v>
      </c>
      <c r="S10" s="31">
        <f t="shared" si="37"/>
        <v>3669</v>
      </c>
      <c r="T10" s="31">
        <f t="shared" si="37"/>
        <v>5192</v>
      </c>
      <c r="U10" s="31">
        <f t="shared" si="37"/>
        <v>5079</v>
      </c>
      <c r="V10" s="31">
        <f t="shared" si="37"/>
        <v>7334</v>
      </c>
      <c r="W10" s="31">
        <f t="shared" si="37"/>
        <v>3887</v>
      </c>
      <c r="X10" s="31">
        <f t="shared" si="37"/>
        <v>6448</v>
      </c>
      <c r="Y10" s="1"/>
      <c r="Z10" s="33" t="s">
        <v>51</v>
      </c>
      <c r="AA10" s="22">
        <f>C15</f>
        <v>693</v>
      </c>
      <c r="AB10" s="22">
        <f>G15</f>
        <v>694</v>
      </c>
      <c r="AC10" s="22">
        <f>K15</f>
        <v>1720</v>
      </c>
      <c r="AD10" s="22">
        <f>O15</f>
        <v>1598</v>
      </c>
      <c r="AE10" s="22">
        <f>S15</f>
        <v>1200</v>
      </c>
      <c r="AF10" s="22">
        <f>W15</f>
        <v>1177</v>
      </c>
      <c r="AG10" s="1"/>
      <c r="AH10" s="33" t="s">
        <v>51</v>
      </c>
      <c r="AI10" s="22">
        <f>D15</f>
        <v>3534</v>
      </c>
      <c r="AJ10" s="22">
        <f>H15</f>
        <v>1173</v>
      </c>
      <c r="AK10" s="22">
        <f>L15</f>
        <v>4105</v>
      </c>
      <c r="AL10" s="22">
        <f>P15</f>
        <v>3751</v>
      </c>
      <c r="AM10" s="18">
        <f>T15</f>
        <v>2687</v>
      </c>
      <c r="AN10" s="18">
        <f>AN6-AN8</f>
        <v>3616</v>
      </c>
      <c r="AO10" s="5"/>
      <c r="AP10" s="33" t="s">
        <v>51</v>
      </c>
      <c r="AQ10" s="22">
        <f>E15</f>
        <v>1861</v>
      </c>
      <c r="AR10" s="22">
        <f>I15</f>
        <v>3253</v>
      </c>
      <c r="AS10" s="22">
        <f>M15</f>
        <v>3238</v>
      </c>
      <c r="AT10" s="22">
        <f>Q15</f>
        <v>3243</v>
      </c>
      <c r="AU10" s="18">
        <f>U15</f>
        <v>2274</v>
      </c>
      <c r="AV10" s="1"/>
      <c r="AW10" s="33" t="s">
        <v>51</v>
      </c>
      <c r="AX10" s="22">
        <f>F15</f>
        <v>1384</v>
      </c>
      <c r="AY10" s="22">
        <f>J15</f>
        <v>3991</v>
      </c>
      <c r="AZ10" s="22">
        <f>N15</f>
        <v>1047</v>
      </c>
      <c r="BA10" s="22">
        <f>R15</f>
        <v>1744</v>
      </c>
      <c r="BB10" s="18">
        <f>V15</f>
        <v>2373</v>
      </c>
      <c r="BC10" s="1"/>
      <c r="BD10" s="1"/>
      <c r="BE10" s="1"/>
      <c r="BF10" s="1"/>
      <c r="BG10" s="1"/>
      <c r="BH10" s="1"/>
    </row>
    <row r="11" spans="1:60" ht="24.75" customHeight="1">
      <c r="A11" s="1"/>
      <c r="B11" s="22" t="s">
        <v>23</v>
      </c>
      <c r="C11" s="30">
        <f t="shared" ref="C11:X11" si="38">C10/C6</f>
        <v>0.27263497923396401</v>
      </c>
      <c r="D11" s="30">
        <f t="shared" si="38"/>
        <v>0.31404839638947568</v>
      </c>
      <c r="E11" s="30">
        <f t="shared" si="38"/>
        <v>0.25555303717135086</v>
      </c>
      <c r="F11" s="30">
        <f t="shared" si="38"/>
        <v>0.26531351939108372</v>
      </c>
      <c r="G11" s="30">
        <f t="shared" si="38"/>
        <v>0.27544008283912264</v>
      </c>
      <c r="H11" s="30">
        <f t="shared" si="38"/>
        <v>0.2617195861576882</v>
      </c>
      <c r="I11" s="30">
        <f t="shared" si="38"/>
        <v>0.33909512761020882</v>
      </c>
      <c r="J11" s="30">
        <f t="shared" si="38"/>
        <v>0.30171014854574957</v>
      </c>
      <c r="K11" s="30">
        <f t="shared" si="38"/>
        <v>0.28030097613882865</v>
      </c>
      <c r="L11" s="34">
        <f t="shared" si="38"/>
        <v>0.30589598466954854</v>
      </c>
      <c r="M11" s="30">
        <f t="shared" si="38"/>
        <v>0.31985827025285873</v>
      </c>
      <c r="N11" s="30">
        <f t="shared" si="38"/>
        <v>0.2659746492097439</v>
      </c>
      <c r="O11" s="30">
        <f t="shared" si="38"/>
        <v>0.22259414225941423</v>
      </c>
      <c r="P11" s="30">
        <f t="shared" si="38"/>
        <v>0.24874830196002329</v>
      </c>
      <c r="Q11" s="30">
        <f t="shared" si="38"/>
        <v>0.28980373384394448</v>
      </c>
      <c r="R11" s="30">
        <f t="shared" si="38"/>
        <v>0.23302481448974707</v>
      </c>
      <c r="S11" s="30">
        <f t="shared" si="38"/>
        <v>0.2348310291858679</v>
      </c>
      <c r="T11" s="30">
        <f t="shared" si="38"/>
        <v>0.30820372788792594</v>
      </c>
      <c r="U11" s="30">
        <f t="shared" si="38"/>
        <v>0.26877282108271155</v>
      </c>
      <c r="V11" s="30">
        <f t="shared" si="38"/>
        <v>0.26790867579908678</v>
      </c>
      <c r="W11" s="30">
        <f t="shared" si="38"/>
        <v>0.21521510436852886</v>
      </c>
      <c r="X11" s="30">
        <f t="shared" si="38"/>
        <v>0.30265195963388875</v>
      </c>
      <c r="Y11" s="1"/>
      <c r="Z11" s="22" t="s">
        <v>24</v>
      </c>
      <c r="AA11" s="26">
        <f>C16</f>
        <v>6.3959390862944165E-2</v>
      </c>
      <c r="AB11" s="26">
        <f>G16</f>
        <v>6.5329944460133668E-2</v>
      </c>
      <c r="AC11" s="26">
        <f>K16</f>
        <v>0.11659436008676789</v>
      </c>
      <c r="AD11" s="26">
        <f>O16</f>
        <v>8.357740585774058E-2</v>
      </c>
      <c r="AE11" s="26">
        <f>S16</f>
        <v>7.6804915514592939E-2</v>
      </c>
      <c r="AF11" s="26">
        <f>W16</f>
        <v>6.5168041636675708E-2</v>
      </c>
      <c r="AG11" s="1"/>
      <c r="AH11" s="22" t="s">
        <v>24</v>
      </c>
      <c r="AI11" s="26">
        <f>D16</f>
        <v>0.16967543691184944</v>
      </c>
      <c r="AJ11" s="26">
        <f>H16</f>
        <v>8.3696039957188731E-2</v>
      </c>
      <c r="AK11" s="26">
        <f>L16</f>
        <v>0.18294041623958288</v>
      </c>
      <c r="AL11" s="26">
        <f>P16</f>
        <v>0.14558509606054726</v>
      </c>
      <c r="AM11" s="26">
        <f>AM10/AM3</f>
        <v>0.15950373976018045</v>
      </c>
      <c r="AN11" s="26">
        <f>AN10/AN3</f>
        <v>0.16972541656888054</v>
      </c>
      <c r="AO11" s="5"/>
      <c r="AP11" s="22" t="s">
        <v>24</v>
      </c>
      <c r="AQ11" s="26">
        <f>E16</f>
        <v>0.10545104261106074</v>
      </c>
      <c r="AR11" s="26">
        <f>I16</f>
        <v>0.1886890951276102</v>
      </c>
      <c r="AS11" s="26">
        <f>M16</f>
        <v>0.17383368228915017</v>
      </c>
      <c r="AT11" s="26">
        <f>Q16</f>
        <v>0.15524174246050743</v>
      </c>
      <c r="AU11" s="27">
        <f>U16</f>
        <v>0.12033656135894587</v>
      </c>
      <c r="AV11" s="1"/>
      <c r="AW11" s="22" t="s">
        <v>24</v>
      </c>
      <c r="AX11" s="26">
        <f>F16</f>
        <v>8.3605170955660266E-2</v>
      </c>
      <c r="AY11" s="26">
        <f>J16</f>
        <v>0.16606332958848249</v>
      </c>
      <c r="AZ11" s="26">
        <f>N16</f>
        <v>5.4613739502373373E-2</v>
      </c>
      <c r="BA11" s="26">
        <f>R16</f>
        <v>6.9576318519109545E-2</v>
      </c>
      <c r="BB11" s="27">
        <f>V16</f>
        <v>8.6684931506849319E-2</v>
      </c>
      <c r="BC11" s="1"/>
      <c r="BD11" s="1"/>
      <c r="BE11" s="1"/>
      <c r="BF11" s="1"/>
      <c r="BG11" s="1"/>
      <c r="BH11" s="1"/>
    </row>
    <row r="12" spans="1:60" ht="24.75" customHeight="1">
      <c r="A12" s="1"/>
      <c r="B12" s="22" t="s">
        <v>48</v>
      </c>
      <c r="C12" s="31">
        <v>2261</v>
      </c>
      <c r="D12" s="31">
        <v>3007</v>
      </c>
      <c r="E12" s="31">
        <v>2649</v>
      </c>
      <c r="F12" s="31">
        <f>10925-E12-D12-C12</f>
        <v>3008</v>
      </c>
      <c r="G12" s="31">
        <v>2232</v>
      </c>
      <c r="H12" s="31">
        <v>2495</v>
      </c>
      <c r="I12" s="31">
        <v>2593</v>
      </c>
      <c r="J12" s="31">
        <f>10580-I12-H12-G12</f>
        <v>3260</v>
      </c>
      <c r="K12" s="31">
        <v>2415</v>
      </c>
      <c r="L12" s="31">
        <v>2759</v>
      </c>
      <c r="M12" s="31">
        <v>2720</v>
      </c>
      <c r="N12" s="31">
        <f>11946-M12-L12-K12</f>
        <v>4052</v>
      </c>
      <c r="O12" s="31">
        <v>2658</v>
      </c>
      <c r="P12" s="31">
        <v>2658</v>
      </c>
      <c r="Q12" s="31">
        <v>2811</v>
      </c>
      <c r="R12" s="31">
        <f>12224-Q12-P12-O12</f>
        <v>4097</v>
      </c>
      <c r="S12" s="22">
        <v>2469</v>
      </c>
      <c r="T12" s="22">
        <v>2505</v>
      </c>
      <c r="U12" s="22">
        <v>2805</v>
      </c>
      <c r="V12" s="22">
        <f>12740-U12-T12-S12</f>
        <v>4961</v>
      </c>
      <c r="W12" s="22">
        <v>2710</v>
      </c>
      <c r="X12" s="22">
        <v>2832</v>
      </c>
      <c r="Y12" s="1"/>
      <c r="BC12" s="1"/>
      <c r="BD12" s="1"/>
      <c r="BE12" s="1"/>
      <c r="BF12" s="1"/>
      <c r="BG12" s="1"/>
      <c r="BH12" s="1"/>
    </row>
    <row r="13" spans="1:60" ht="24.75" customHeight="1">
      <c r="A13" s="1"/>
      <c r="B13" s="22" t="s">
        <v>52</v>
      </c>
      <c r="C13" s="35">
        <f t="shared" ref="C13:X13" si="39">C12/C6</f>
        <v>0.20867558837101985</v>
      </c>
      <c r="D13" s="35">
        <f t="shared" si="39"/>
        <v>0.14437295947762627</v>
      </c>
      <c r="E13" s="35">
        <f t="shared" si="39"/>
        <v>0.15010199456029011</v>
      </c>
      <c r="F13" s="35">
        <f t="shared" si="39"/>
        <v>0.18170834843542347</v>
      </c>
      <c r="G13" s="35">
        <f t="shared" si="39"/>
        <v>0.21011013837898898</v>
      </c>
      <c r="H13" s="35">
        <f t="shared" si="39"/>
        <v>0.17802354620049946</v>
      </c>
      <c r="I13" s="35">
        <f t="shared" si="39"/>
        <v>0.1504060324825986</v>
      </c>
      <c r="J13" s="35">
        <f t="shared" si="39"/>
        <v>0.1356468189572671</v>
      </c>
      <c r="K13" s="35">
        <f t="shared" si="39"/>
        <v>0.16370661605206074</v>
      </c>
      <c r="L13" s="36">
        <f t="shared" si="39"/>
        <v>0.12295556842996569</v>
      </c>
      <c r="M13" s="35">
        <f t="shared" si="39"/>
        <v>0.1460245879637086</v>
      </c>
      <c r="N13" s="35">
        <f t="shared" si="39"/>
        <v>0.21136090970737051</v>
      </c>
      <c r="O13" s="35">
        <f t="shared" si="39"/>
        <v>0.13901673640167364</v>
      </c>
      <c r="P13" s="35">
        <f t="shared" si="39"/>
        <v>0.10316320589947603</v>
      </c>
      <c r="Q13" s="35">
        <f t="shared" si="39"/>
        <v>0.13456199138343705</v>
      </c>
      <c r="R13" s="35">
        <f t="shared" si="39"/>
        <v>0.16344849597063751</v>
      </c>
      <c r="S13" s="26">
        <f t="shared" si="39"/>
        <v>0.15802611367127495</v>
      </c>
      <c r="T13" s="26">
        <f t="shared" si="39"/>
        <v>0.14869998812774546</v>
      </c>
      <c r="U13" s="26">
        <f t="shared" si="39"/>
        <v>0.14843625972376567</v>
      </c>
      <c r="V13" s="26">
        <f t="shared" si="39"/>
        <v>0.18122374429223745</v>
      </c>
      <c r="W13" s="26">
        <f t="shared" si="39"/>
        <v>0.15004706273185317</v>
      </c>
      <c r="X13" s="26">
        <f t="shared" si="39"/>
        <v>0.1329265430650082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</row>
    <row r="14" spans="1:60" ht="24.75" customHeight="1">
      <c r="A14" s="1"/>
      <c r="B14" s="37" t="s">
        <v>53</v>
      </c>
      <c r="C14" s="38"/>
      <c r="D14" s="38">
        <f>(D12-C12)/C12</f>
        <v>0.32994250331711633</v>
      </c>
      <c r="E14" s="38">
        <f t="shared" ref="E14:X14" si="40">(E12-D12)/D12</f>
        <v>-0.11905553708014632</v>
      </c>
      <c r="F14" s="38">
        <f t="shared" si="40"/>
        <v>0.13552283880709701</v>
      </c>
      <c r="G14" s="38">
        <f t="shared" si="40"/>
        <v>-0.25797872340425532</v>
      </c>
      <c r="H14" s="38">
        <f t="shared" si="40"/>
        <v>0.11783154121863799</v>
      </c>
      <c r="I14" s="38">
        <f t="shared" si="40"/>
        <v>3.9278557114228459E-2</v>
      </c>
      <c r="J14" s="38">
        <f t="shared" si="40"/>
        <v>0.25723100655611258</v>
      </c>
      <c r="K14" s="38">
        <f t="shared" si="40"/>
        <v>-0.25920245398773006</v>
      </c>
      <c r="L14" s="38">
        <f t="shared" si="40"/>
        <v>0.14244306418219463</v>
      </c>
      <c r="M14" s="38">
        <f t="shared" si="40"/>
        <v>-1.4135556361000362E-2</v>
      </c>
      <c r="N14" s="38">
        <f t="shared" si="40"/>
        <v>0.48970588235294116</v>
      </c>
      <c r="O14" s="38">
        <f t="shared" si="40"/>
        <v>-0.34402764067127345</v>
      </c>
      <c r="P14" s="38">
        <f t="shared" si="40"/>
        <v>0</v>
      </c>
      <c r="Q14" s="38">
        <f t="shared" si="40"/>
        <v>5.7562076749435663E-2</v>
      </c>
      <c r="R14" s="38">
        <f t="shared" si="40"/>
        <v>0.4574884382781928</v>
      </c>
      <c r="S14" s="38">
        <f t="shared" si="40"/>
        <v>-0.39736392482304123</v>
      </c>
      <c r="T14" s="38">
        <f t="shared" si="40"/>
        <v>1.4580801944106925E-2</v>
      </c>
      <c r="U14" s="38">
        <f t="shared" si="40"/>
        <v>0.11976047904191617</v>
      </c>
      <c r="V14" s="38">
        <f t="shared" si="40"/>
        <v>0.7686274509803922</v>
      </c>
      <c r="W14" s="38">
        <f t="shared" si="40"/>
        <v>-0.45373916549082849</v>
      </c>
      <c r="X14" s="38">
        <f t="shared" si="40"/>
        <v>4.5018450184501846E-2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</row>
    <row r="15" spans="1:60" ht="24.75" customHeight="1">
      <c r="A15" s="1"/>
      <c r="B15" s="22" t="s">
        <v>51</v>
      </c>
      <c r="C15" s="39">
        <f t="shared" ref="C15:X15" si="41">C6-C8-C12</f>
        <v>693</v>
      </c>
      <c r="D15" s="39">
        <f t="shared" si="41"/>
        <v>3534</v>
      </c>
      <c r="E15" s="39">
        <f t="shared" si="41"/>
        <v>1861</v>
      </c>
      <c r="F15" s="39">
        <f t="shared" si="41"/>
        <v>1384</v>
      </c>
      <c r="G15" s="39">
        <f t="shared" si="41"/>
        <v>694</v>
      </c>
      <c r="H15" s="39">
        <f t="shared" si="41"/>
        <v>1173</v>
      </c>
      <c r="I15" s="39">
        <f t="shared" si="41"/>
        <v>3253</v>
      </c>
      <c r="J15" s="39">
        <f t="shared" si="41"/>
        <v>3991</v>
      </c>
      <c r="K15" s="39">
        <f t="shared" si="41"/>
        <v>1720</v>
      </c>
      <c r="L15" s="40">
        <f t="shared" si="41"/>
        <v>4105</v>
      </c>
      <c r="M15" s="39">
        <f t="shared" si="41"/>
        <v>3238</v>
      </c>
      <c r="N15" s="39">
        <f t="shared" si="41"/>
        <v>1047</v>
      </c>
      <c r="O15" s="39">
        <f t="shared" si="41"/>
        <v>1598</v>
      </c>
      <c r="P15" s="39">
        <f t="shared" si="41"/>
        <v>3751</v>
      </c>
      <c r="Q15" s="39">
        <f t="shared" si="41"/>
        <v>3243</v>
      </c>
      <c r="R15" s="39">
        <f t="shared" si="41"/>
        <v>1744</v>
      </c>
      <c r="S15" s="39">
        <f t="shared" si="41"/>
        <v>1200</v>
      </c>
      <c r="T15" s="39">
        <f t="shared" si="41"/>
        <v>2687</v>
      </c>
      <c r="U15" s="39">
        <f t="shared" si="41"/>
        <v>2274</v>
      </c>
      <c r="V15" s="39">
        <f t="shared" si="41"/>
        <v>2373</v>
      </c>
      <c r="W15" s="39">
        <f t="shared" si="41"/>
        <v>1177</v>
      </c>
      <c r="X15" s="39">
        <f t="shared" si="41"/>
        <v>3616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</row>
    <row r="16" spans="1:60" ht="24.75" customHeight="1">
      <c r="A16" s="1"/>
      <c r="B16" s="41" t="s">
        <v>25</v>
      </c>
      <c r="C16" s="42">
        <f t="shared" ref="C16:X16" si="42">C15/C6</f>
        <v>6.3959390862944165E-2</v>
      </c>
      <c r="D16" s="42">
        <f t="shared" si="42"/>
        <v>0.16967543691184944</v>
      </c>
      <c r="E16" s="42">
        <f t="shared" si="42"/>
        <v>0.10545104261106074</v>
      </c>
      <c r="F16" s="42">
        <f t="shared" si="42"/>
        <v>8.3605170955660266E-2</v>
      </c>
      <c r="G16" s="42">
        <f t="shared" si="42"/>
        <v>6.5329944460133668E-2</v>
      </c>
      <c r="H16" s="42">
        <f t="shared" si="42"/>
        <v>8.3696039957188731E-2</v>
      </c>
      <c r="I16" s="42">
        <f t="shared" si="42"/>
        <v>0.1886890951276102</v>
      </c>
      <c r="J16" s="42">
        <f t="shared" si="42"/>
        <v>0.16606332958848249</v>
      </c>
      <c r="K16" s="42">
        <f t="shared" si="42"/>
        <v>0.11659436008676789</v>
      </c>
      <c r="L16" s="43">
        <f t="shared" si="42"/>
        <v>0.18294041623958288</v>
      </c>
      <c r="M16" s="42">
        <f t="shared" si="42"/>
        <v>0.17383368228915017</v>
      </c>
      <c r="N16" s="42">
        <f t="shared" si="42"/>
        <v>5.4613739502373373E-2</v>
      </c>
      <c r="O16" s="42">
        <f t="shared" si="42"/>
        <v>8.357740585774058E-2</v>
      </c>
      <c r="P16" s="42">
        <f t="shared" si="42"/>
        <v>0.14558509606054726</v>
      </c>
      <c r="Q16" s="42">
        <f t="shared" si="42"/>
        <v>0.15524174246050743</v>
      </c>
      <c r="R16" s="42">
        <f t="shared" si="42"/>
        <v>6.9576318519109545E-2</v>
      </c>
      <c r="S16" s="44">
        <f t="shared" si="42"/>
        <v>7.6804915514592939E-2</v>
      </c>
      <c r="T16" s="44">
        <f t="shared" si="42"/>
        <v>0.15950373976018045</v>
      </c>
      <c r="U16" s="44">
        <f t="shared" si="42"/>
        <v>0.12033656135894587</v>
      </c>
      <c r="V16" s="44">
        <f t="shared" si="42"/>
        <v>8.6684931506849319E-2</v>
      </c>
      <c r="W16" s="44">
        <f t="shared" si="42"/>
        <v>6.5168041636675708E-2</v>
      </c>
      <c r="X16" s="44">
        <f t="shared" si="42"/>
        <v>0.16972541656888054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</row>
    <row r="17" spans="1:60" ht="24.75" customHeight="1">
      <c r="A17" s="1"/>
      <c r="B17" s="11" t="s">
        <v>54</v>
      </c>
      <c r="C17" s="11">
        <v>1668</v>
      </c>
      <c r="D17" s="11">
        <v>5734</v>
      </c>
      <c r="E17" s="11">
        <v>1629</v>
      </c>
      <c r="F17" s="11">
        <f>9153-E17-D17-C17</f>
        <v>122</v>
      </c>
      <c r="G17" s="11">
        <v>838</v>
      </c>
      <c r="H17" s="11">
        <v>4658</v>
      </c>
      <c r="I17" s="11">
        <v>2727</v>
      </c>
      <c r="J17" s="11">
        <f>11324-I17-H17-G17</f>
        <v>3101</v>
      </c>
      <c r="K17" s="11">
        <v>5202</v>
      </c>
      <c r="L17" s="11">
        <v>3593</v>
      </c>
      <c r="M17" s="11">
        <v>3050</v>
      </c>
      <c r="N17" s="11">
        <f>12579-M17-L17-K17</f>
        <v>734</v>
      </c>
      <c r="O17" s="11">
        <v>6558</v>
      </c>
      <c r="P17" s="11">
        <v>3553</v>
      </c>
      <c r="Q17" s="11">
        <v>2742</v>
      </c>
      <c r="R17" s="11">
        <f>13333-Q17-P17-O17</f>
        <v>480</v>
      </c>
      <c r="S17" s="11">
        <v>5866</v>
      </c>
      <c r="T17" s="11">
        <v>2163</v>
      </c>
      <c r="U17" s="11">
        <v>2211</v>
      </c>
      <c r="V17" s="11">
        <f>11755-U17-T17-S17</f>
        <v>1515</v>
      </c>
      <c r="W17" s="11">
        <v>6953</v>
      </c>
      <c r="X17" s="11">
        <v>3003</v>
      </c>
      <c r="Y17" s="1"/>
      <c r="Z17" s="1"/>
      <c r="AA17" s="45"/>
      <c r="AB17" s="46"/>
      <c r="AC17" s="47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</row>
    <row r="18" spans="1:60" ht="24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45"/>
      <c r="AB18" s="47"/>
      <c r="AC18" s="47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</row>
    <row r="19" spans="1:60" ht="24.75" customHeight="1">
      <c r="A19" s="1"/>
      <c r="B19" s="1" t="s">
        <v>55</v>
      </c>
      <c r="C19" s="1"/>
      <c r="D19" s="1"/>
      <c r="E19" s="1"/>
      <c r="F19" s="1"/>
      <c r="G19" s="1"/>
      <c r="H19" s="1"/>
      <c r="I19" s="1"/>
      <c r="J19" s="1"/>
      <c r="K19" s="1"/>
      <c r="L19" s="2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45"/>
      <c r="AB19" s="47"/>
      <c r="AC19" s="47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</row>
    <row r="20" spans="1:60" ht="24.75" customHeight="1">
      <c r="A20" s="1"/>
      <c r="B20" s="22" t="s">
        <v>26</v>
      </c>
      <c r="C20" s="33">
        <v>2865</v>
      </c>
      <c r="D20" s="33">
        <f>10438-C20</f>
        <v>7573</v>
      </c>
      <c r="E20" s="33">
        <f>12835-D20-C20</f>
        <v>2397</v>
      </c>
      <c r="F20" s="22">
        <f>11341-E20-D20-C20</f>
        <v>-1494</v>
      </c>
      <c r="G20" s="33">
        <v>4533</v>
      </c>
      <c r="H20" s="33">
        <f>8484-G20</f>
        <v>3951</v>
      </c>
      <c r="I20" s="33">
        <f>9261-H20-G20</f>
        <v>777</v>
      </c>
      <c r="J20" s="33">
        <f>10592-I20-H20-G20</f>
        <v>1331</v>
      </c>
      <c r="K20" s="33">
        <v>3161</v>
      </c>
      <c r="L20" s="48">
        <f>11624-K20</f>
        <v>8463</v>
      </c>
      <c r="M20" s="33">
        <f>14857-L20-K20</f>
        <v>3233</v>
      </c>
      <c r="N20" s="33">
        <f>17505-M20-L20-K20</f>
        <v>2648</v>
      </c>
      <c r="O20" s="33">
        <v>2796</v>
      </c>
      <c r="P20" s="33">
        <f>2742-O20</f>
        <v>-54</v>
      </c>
      <c r="Q20" s="33">
        <f>5468-P20-O20</f>
        <v>2726</v>
      </c>
      <c r="R20" s="33">
        <f>7964-Q20-P20-O20</f>
        <v>2496</v>
      </c>
      <c r="S20" s="33">
        <v>5433</v>
      </c>
      <c r="T20" s="33">
        <f>12976-S20</f>
        <v>7543</v>
      </c>
      <c r="U20" s="33">
        <f>14375-T20-S20</f>
        <v>1399</v>
      </c>
      <c r="V20" s="33">
        <f>18667-U20-T20-S20</f>
        <v>4292</v>
      </c>
      <c r="W20" s="33">
        <v>3344</v>
      </c>
      <c r="X20" s="33">
        <f>9909-W20</f>
        <v>6565</v>
      </c>
      <c r="Y20" s="1"/>
      <c r="Z20" s="1"/>
      <c r="AA20" s="45"/>
      <c r="AB20" s="47"/>
      <c r="AC20" s="47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</row>
    <row r="21" spans="1:60" ht="24.75" customHeight="1">
      <c r="A21" s="1"/>
      <c r="B21" s="22" t="s">
        <v>27</v>
      </c>
      <c r="C21" s="33">
        <v>-3027</v>
      </c>
      <c r="D21" s="33">
        <f>-2847-C21</f>
        <v>180</v>
      </c>
      <c r="E21" s="33">
        <f>-3843-D21-C21</f>
        <v>-996</v>
      </c>
      <c r="F21" s="33">
        <f>-12974-E21-D21-C21</f>
        <v>-9131</v>
      </c>
      <c r="G21" s="33">
        <v>154</v>
      </c>
      <c r="H21" s="33">
        <f>466-G21</f>
        <v>312</v>
      </c>
      <c r="I21" s="49">
        <f>770-H21-G21</f>
        <v>304</v>
      </c>
      <c r="J21" s="49">
        <f>857-I21-H21-G21</f>
        <v>87</v>
      </c>
      <c r="K21" s="49">
        <v>113</v>
      </c>
      <c r="L21" s="50">
        <f>314-K21</f>
        <v>201</v>
      </c>
      <c r="M21" s="49">
        <f>593-L21-K21</f>
        <v>279</v>
      </c>
      <c r="N21" s="49">
        <f>2642-M21-L21-K21</f>
        <v>2049</v>
      </c>
      <c r="O21" s="49">
        <v>-560</v>
      </c>
      <c r="P21" s="49">
        <f>-961-O21</f>
        <v>-401</v>
      </c>
      <c r="Q21" s="49">
        <f>-999-P21-O21</f>
        <v>-38</v>
      </c>
      <c r="R21" s="49">
        <f>-343-Q21-P21-O21</f>
        <v>656</v>
      </c>
      <c r="S21" s="49">
        <v>107</v>
      </c>
      <c r="T21" s="49">
        <f>918-S21</f>
        <v>811</v>
      </c>
      <c r="U21" s="49">
        <f>1221-T21-S21</f>
        <v>303</v>
      </c>
      <c r="V21" s="49">
        <f>1404-U21-T21-S21</f>
        <v>183</v>
      </c>
      <c r="W21" s="49">
        <v>680</v>
      </c>
      <c r="X21" s="49">
        <f>683-W21</f>
        <v>3</v>
      </c>
      <c r="Y21" s="1"/>
      <c r="Z21" s="1"/>
      <c r="AA21" s="45"/>
      <c r="AB21" s="47"/>
      <c r="AC21" s="47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</row>
    <row r="22" spans="1:60" ht="24.75" customHeight="1">
      <c r="A22" s="1"/>
      <c r="B22" s="22" t="s">
        <v>28</v>
      </c>
      <c r="C22" s="33">
        <f t="shared" ref="C22:X22" si="43">C20-C21</f>
        <v>5892</v>
      </c>
      <c r="D22" s="33">
        <f t="shared" si="43"/>
        <v>7393</v>
      </c>
      <c r="E22" s="33">
        <f t="shared" si="43"/>
        <v>3393</v>
      </c>
      <c r="F22" s="33">
        <f t="shared" si="43"/>
        <v>7637</v>
      </c>
      <c r="G22" s="33">
        <f t="shared" si="43"/>
        <v>4379</v>
      </c>
      <c r="H22" s="33">
        <f t="shared" si="43"/>
        <v>3639</v>
      </c>
      <c r="I22" s="33">
        <f t="shared" si="43"/>
        <v>473</v>
      </c>
      <c r="J22" s="33">
        <f t="shared" si="43"/>
        <v>1244</v>
      </c>
      <c r="K22" s="33">
        <f t="shared" si="43"/>
        <v>3048</v>
      </c>
      <c r="L22" s="48">
        <f t="shared" si="43"/>
        <v>8262</v>
      </c>
      <c r="M22" s="33">
        <f t="shared" si="43"/>
        <v>2954</v>
      </c>
      <c r="N22" s="33">
        <f t="shared" si="43"/>
        <v>599</v>
      </c>
      <c r="O22" s="33">
        <f t="shared" si="43"/>
        <v>3356</v>
      </c>
      <c r="P22" s="33">
        <f t="shared" si="43"/>
        <v>347</v>
      </c>
      <c r="Q22" s="33">
        <f t="shared" si="43"/>
        <v>2764</v>
      </c>
      <c r="R22" s="33">
        <f t="shared" si="43"/>
        <v>1840</v>
      </c>
      <c r="S22" s="33">
        <f t="shared" si="43"/>
        <v>5326</v>
      </c>
      <c r="T22" s="33">
        <f t="shared" si="43"/>
        <v>6732</v>
      </c>
      <c r="U22" s="33">
        <f t="shared" si="43"/>
        <v>1096</v>
      </c>
      <c r="V22" s="33">
        <f t="shared" si="43"/>
        <v>4109</v>
      </c>
      <c r="W22" s="33">
        <f t="shared" si="43"/>
        <v>2664</v>
      </c>
      <c r="X22" s="33">
        <f t="shared" si="43"/>
        <v>6562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</row>
    <row r="23" spans="1:60" ht="24.75" customHeight="1">
      <c r="A23" s="1"/>
      <c r="B23" s="51" t="s">
        <v>56</v>
      </c>
      <c r="C23" s="1"/>
      <c r="D23" s="1"/>
      <c r="E23" s="1"/>
      <c r="F23" s="1"/>
      <c r="G23" s="1"/>
      <c r="H23" s="1"/>
      <c r="I23" s="1"/>
      <c r="J23" s="1"/>
      <c r="K23" s="1"/>
      <c r="L23" s="2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45"/>
      <c r="AB23" s="47"/>
      <c r="AC23" s="46"/>
      <c r="AD23" s="1"/>
      <c r="AE23" s="7"/>
      <c r="AF23" s="7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</row>
    <row r="24" spans="1:60" ht="24.75" customHeight="1">
      <c r="A24" s="1"/>
      <c r="B24" s="51" t="s">
        <v>57</v>
      </c>
      <c r="C24" s="1"/>
      <c r="D24" s="1"/>
      <c r="E24" s="1"/>
      <c r="F24" s="1"/>
      <c r="G24" s="1"/>
      <c r="H24" s="1"/>
      <c r="I24" s="1"/>
      <c r="J24" s="1"/>
      <c r="K24" s="1"/>
      <c r="L24" s="2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45"/>
      <c r="AB24" s="47"/>
      <c r="AC24" s="47"/>
      <c r="AD24" s="1"/>
      <c r="AE24" s="7"/>
      <c r="AF24" s="7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</row>
    <row r="25" spans="1:60" ht="24.75" customHeight="1">
      <c r="A25" s="1"/>
      <c r="B25" s="51" t="s">
        <v>58</v>
      </c>
      <c r="C25" s="1"/>
      <c r="D25" s="1"/>
      <c r="E25" s="1"/>
      <c r="F25" s="1"/>
      <c r="G25" s="1"/>
      <c r="H25" s="1"/>
      <c r="I25" s="1"/>
      <c r="J25" s="1"/>
      <c r="K25" s="1"/>
      <c r="L25" s="2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45"/>
      <c r="AB25" s="47"/>
      <c r="AC25" s="47"/>
      <c r="AD25" s="1"/>
      <c r="AE25" s="7"/>
      <c r="AF25" s="7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</row>
    <row r="26" spans="1:60" ht="24.75" customHeight="1">
      <c r="A26" s="1"/>
      <c r="B26" s="51"/>
      <c r="C26" s="1"/>
      <c r="D26" s="1"/>
      <c r="E26" s="1"/>
      <c r="F26" s="1"/>
      <c r="G26" s="1"/>
      <c r="H26" s="1"/>
      <c r="I26" s="1"/>
      <c r="J26" s="1"/>
      <c r="K26" s="1"/>
      <c r="L26" s="2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45"/>
      <c r="AB26" s="47"/>
      <c r="AC26" s="47"/>
      <c r="AD26" s="1"/>
      <c r="AE26" s="7"/>
      <c r="AF26" s="7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</row>
    <row r="27" spans="1:60" ht="24.75" customHeight="1">
      <c r="A27" s="1"/>
      <c r="B27" s="51" t="s">
        <v>59</v>
      </c>
      <c r="C27" s="1"/>
      <c r="D27" s="1"/>
      <c r="E27" s="1"/>
      <c r="F27" s="1"/>
      <c r="G27" s="1"/>
      <c r="H27" s="1"/>
      <c r="I27" s="1"/>
      <c r="J27" s="1"/>
      <c r="K27" s="1"/>
      <c r="L27" s="2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45"/>
      <c r="AB27" s="47"/>
      <c r="AC27" s="47"/>
      <c r="AD27" s="1"/>
      <c r="AE27" s="7"/>
      <c r="AF27" s="7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</row>
    <row r="28" spans="1:60" ht="24.75" customHeight="1" thickBot="1">
      <c r="A28" s="1"/>
      <c r="B28" s="14" t="s">
        <v>44</v>
      </c>
      <c r="C28" s="15" t="s">
        <v>0</v>
      </c>
      <c r="D28" s="15" t="s">
        <v>1</v>
      </c>
      <c r="E28" s="15" t="s">
        <v>2</v>
      </c>
      <c r="F28" s="15" t="s">
        <v>3</v>
      </c>
      <c r="G28" s="15" t="s">
        <v>4</v>
      </c>
      <c r="H28" s="15" t="s">
        <v>5</v>
      </c>
      <c r="I28" s="15" t="s">
        <v>6</v>
      </c>
      <c r="J28" s="15" t="s">
        <v>7</v>
      </c>
      <c r="K28" s="52" t="s">
        <v>8</v>
      </c>
      <c r="L28" s="17" t="s">
        <v>9</v>
      </c>
      <c r="M28" s="15" t="s">
        <v>10</v>
      </c>
      <c r="N28" s="15" t="s">
        <v>11</v>
      </c>
      <c r="O28" s="15" t="s">
        <v>12</v>
      </c>
      <c r="P28" s="15" t="s">
        <v>13</v>
      </c>
      <c r="Q28" s="15" t="s">
        <v>14</v>
      </c>
      <c r="R28" s="15" t="s">
        <v>15</v>
      </c>
      <c r="S28" s="15" t="s">
        <v>16</v>
      </c>
      <c r="T28" s="15" t="s">
        <v>17</v>
      </c>
      <c r="U28" s="15" t="s">
        <v>18</v>
      </c>
      <c r="V28" s="15" t="s">
        <v>19</v>
      </c>
      <c r="W28" s="15" t="s">
        <v>20</v>
      </c>
      <c r="X28" s="15" t="s">
        <v>21</v>
      </c>
      <c r="Y28" s="1"/>
      <c r="Z28" s="1"/>
      <c r="AA28" s="45"/>
      <c r="AB28" s="47"/>
      <c r="AC28" s="47"/>
      <c r="AD28" s="1"/>
      <c r="AE28" s="7"/>
      <c r="AF28" s="7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</row>
    <row r="29" spans="1:60" ht="24.75" customHeight="1" thickTop="1">
      <c r="A29" s="1"/>
      <c r="B29" s="53" t="s">
        <v>60</v>
      </c>
      <c r="C29" s="11">
        <v>1232</v>
      </c>
      <c r="D29" s="11">
        <f>3262-C29</f>
        <v>2030</v>
      </c>
      <c r="E29" s="11">
        <f>4194-D29-C29</f>
        <v>932</v>
      </c>
      <c r="F29" s="11">
        <f>5094-E29-D29-C29</f>
        <v>900</v>
      </c>
      <c r="G29" s="11">
        <v>925</v>
      </c>
      <c r="H29" s="11">
        <f>2233-G29</f>
        <v>1308</v>
      </c>
      <c r="I29" s="11">
        <f>3634-H29-G29</f>
        <v>1401</v>
      </c>
      <c r="J29" s="11">
        <f>5294-I29-H29-G29</f>
        <v>1660</v>
      </c>
      <c r="K29" s="11">
        <v>1749</v>
      </c>
      <c r="L29" s="54">
        <f>4034-K29</f>
        <v>2285</v>
      </c>
      <c r="M29" s="11">
        <f>4780-L29-K29</f>
        <v>746</v>
      </c>
      <c r="N29" s="11">
        <f>7012-M29-L29-K29</f>
        <v>2232</v>
      </c>
      <c r="O29" s="11">
        <v>2324</v>
      </c>
      <c r="P29" s="11">
        <f>4611-O29</f>
        <v>2287</v>
      </c>
      <c r="Q29" s="11">
        <f>5975-P29-O29</f>
        <v>1364</v>
      </c>
      <c r="R29" s="11">
        <f>6799-Q29-P29-O29</f>
        <v>824</v>
      </c>
      <c r="S29" s="11">
        <v>1188</v>
      </c>
      <c r="T29" s="11">
        <f>2342-S29</f>
        <v>1154</v>
      </c>
      <c r="U29" s="11">
        <f>4279-T29-S29</f>
        <v>1937</v>
      </c>
      <c r="V29" s="11">
        <f>7617-U29-T29-S29</f>
        <v>3338</v>
      </c>
      <c r="W29" s="11">
        <v>2471</v>
      </c>
      <c r="X29" s="11">
        <f>5298-W29</f>
        <v>2827</v>
      </c>
      <c r="Y29" s="1"/>
      <c r="Z29" s="1"/>
      <c r="AA29" s="45"/>
      <c r="AB29" s="47"/>
      <c r="AC29" s="47"/>
      <c r="AD29" s="1"/>
      <c r="AE29" s="7"/>
      <c r="AF29" s="7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</row>
    <row r="30" spans="1:60" ht="24.75" customHeight="1">
      <c r="A30" s="1"/>
      <c r="B30" s="53" t="s">
        <v>61</v>
      </c>
      <c r="C30" s="11">
        <f>C31-C29</f>
        <v>5096</v>
      </c>
      <c r="D30" s="11">
        <f t="shared" ref="D30:E30" si="44">D31-D29</f>
        <v>9172</v>
      </c>
      <c r="E30" s="11">
        <f t="shared" si="44"/>
        <v>6003</v>
      </c>
      <c r="F30" s="11">
        <f>F31-F29</f>
        <v>5032</v>
      </c>
      <c r="G30" s="11">
        <f>G31-G29</f>
        <v>4462</v>
      </c>
      <c r="H30" s="11">
        <f>H31-H29</f>
        <v>5070</v>
      </c>
      <c r="I30" s="11">
        <f t="shared" ref="I30:X30" si="45">I31-I29</f>
        <v>7274</v>
      </c>
      <c r="J30" s="11">
        <f t="shared" si="45"/>
        <v>6988</v>
      </c>
      <c r="K30" s="11">
        <f t="shared" si="45"/>
        <v>8050</v>
      </c>
      <c r="L30" s="11">
        <f t="shared" si="45"/>
        <v>7314</v>
      </c>
      <c r="M30" s="11">
        <f t="shared" si="45"/>
        <v>6601</v>
      </c>
      <c r="N30" s="11">
        <f t="shared" si="45"/>
        <v>7759</v>
      </c>
      <c r="O30" s="11">
        <f t="shared" si="45"/>
        <v>10273</v>
      </c>
      <c r="P30" s="11">
        <f t="shared" si="45"/>
        <v>9885</v>
      </c>
      <c r="Q30" s="11">
        <f t="shared" si="45"/>
        <v>8397</v>
      </c>
      <c r="R30" s="11">
        <f t="shared" si="45"/>
        <v>8684</v>
      </c>
      <c r="S30" s="11">
        <f t="shared" si="45"/>
        <v>6113</v>
      </c>
      <c r="T30" s="11">
        <f t="shared" si="45"/>
        <v>6293</v>
      </c>
      <c r="U30" s="11">
        <f t="shared" si="45"/>
        <v>8389</v>
      </c>
      <c r="V30" s="11">
        <f t="shared" si="45"/>
        <v>9233</v>
      </c>
      <c r="W30" s="11">
        <f t="shared" si="45"/>
        <v>7859</v>
      </c>
      <c r="X30" s="11">
        <f t="shared" si="45"/>
        <v>6779</v>
      </c>
      <c r="Y30" s="1"/>
      <c r="Z30" s="1"/>
      <c r="AA30" s="45"/>
      <c r="AB30" s="47"/>
      <c r="AC30" s="47"/>
      <c r="AD30" s="1"/>
      <c r="AE30" s="7"/>
      <c r="AF30" s="7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</row>
    <row r="31" spans="1:60" ht="24.75" customHeight="1">
      <c r="A31" s="1" t="s">
        <v>62</v>
      </c>
      <c r="B31" s="53" t="s">
        <v>63</v>
      </c>
      <c r="C31" s="11">
        <v>6328</v>
      </c>
      <c r="D31" s="11">
        <f>17530-C31</f>
        <v>11202</v>
      </c>
      <c r="E31" s="11">
        <f>24465-D31-C31</f>
        <v>6935</v>
      </c>
      <c r="F31" s="11">
        <f>30397-E31-D31-C31</f>
        <v>5932</v>
      </c>
      <c r="G31" s="11">
        <v>5387</v>
      </c>
      <c r="H31" s="11">
        <f>11765-G31</f>
        <v>6378</v>
      </c>
      <c r="I31" s="11">
        <f>20440-H31-G31</f>
        <v>8675</v>
      </c>
      <c r="J31" s="11">
        <f>29088-I31-H31-G31</f>
        <v>8648</v>
      </c>
      <c r="K31" s="11">
        <v>9799</v>
      </c>
      <c r="L31" s="54">
        <f>19398-K31</f>
        <v>9599</v>
      </c>
      <c r="M31" s="11">
        <f>26745-L31-K31</f>
        <v>7347</v>
      </c>
      <c r="N31" s="11">
        <f>36736-M31-L31-K31</f>
        <v>9991</v>
      </c>
      <c r="O31" s="11">
        <v>12597</v>
      </c>
      <c r="P31" s="11">
        <f>24769-O31</f>
        <v>12172</v>
      </c>
      <c r="Q31" s="11">
        <f>34530-P31-O31</f>
        <v>9761</v>
      </c>
      <c r="R31" s="11">
        <f>44038-Q31-P31-O31</f>
        <v>9508</v>
      </c>
      <c r="S31" s="11">
        <v>7301</v>
      </c>
      <c r="T31" s="11">
        <f>14748-S31</f>
        <v>7447</v>
      </c>
      <c r="U31" s="11">
        <f>25074-T31-S31</f>
        <v>10326</v>
      </c>
      <c r="V31" s="11">
        <f>37645-U31-T31-S31</f>
        <v>12571</v>
      </c>
      <c r="W31" s="11">
        <v>10330</v>
      </c>
      <c r="X31" s="11">
        <f>19936-W31</f>
        <v>9606</v>
      </c>
      <c r="Y31" s="1"/>
      <c r="Z31" s="1"/>
      <c r="AA31" s="45"/>
      <c r="AB31" s="47"/>
      <c r="AC31" s="47"/>
      <c r="AD31" s="1"/>
      <c r="AE31" s="7"/>
      <c r="AF31" s="7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</row>
    <row r="32" spans="1:60" ht="24.75" customHeight="1">
      <c r="A32" s="1"/>
      <c r="B32" s="53" t="s">
        <v>64</v>
      </c>
      <c r="C32" s="13">
        <f>C31/C72</f>
        <v>0.83317972350230418</v>
      </c>
      <c r="D32" s="13">
        <f t="shared" ref="D32:X32" si="46">D31/D72</f>
        <v>0.80526202285960746</v>
      </c>
      <c r="E32" s="13">
        <f t="shared" si="46"/>
        <v>0.53672316384180796</v>
      </c>
      <c r="F32" s="13">
        <f t="shared" si="46"/>
        <v>0.66561938958707356</v>
      </c>
      <c r="G32" s="13">
        <f t="shared" si="46"/>
        <v>0.72221477409840462</v>
      </c>
      <c r="H32" s="13">
        <f t="shared" si="46"/>
        <v>0.63741754947031781</v>
      </c>
      <c r="I32" s="13">
        <f t="shared" si="46"/>
        <v>0.78599257044486726</v>
      </c>
      <c r="J32" s="13">
        <f t="shared" si="46"/>
        <v>0.5319227457251815</v>
      </c>
      <c r="K32" s="13">
        <f t="shared" si="46"/>
        <v>0.946580370942813</v>
      </c>
      <c r="L32" s="13">
        <f t="shared" si="46"/>
        <v>0.63409961685823757</v>
      </c>
      <c r="M32" s="13">
        <f t="shared" si="46"/>
        <v>0.59518794556059629</v>
      </c>
      <c r="N32" s="13">
        <f t="shared" si="46"/>
        <v>0.73376909518213862</v>
      </c>
      <c r="O32" s="13">
        <f t="shared" si="46"/>
        <v>0.86500034333585107</v>
      </c>
      <c r="P32" s="13">
        <f t="shared" si="46"/>
        <v>0.77583019950283638</v>
      </c>
      <c r="Q32" s="13">
        <f t="shared" si="46"/>
        <v>0.77708781147997774</v>
      </c>
      <c r="R32" s="13">
        <f t="shared" si="46"/>
        <v>0.39426107148780892</v>
      </c>
      <c r="S32" s="13">
        <f t="shared" si="46"/>
        <v>0.62712592338086237</v>
      </c>
      <c r="T32" s="13">
        <f t="shared" si="46"/>
        <v>0.66777259684361545</v>
      </c>
      <c r="U32" s="13">
        <f t="shared" si="46"/>
        <v>0.76579649955502815</v>
      </c>
      <c r="V32" s="13">
        <f t="shared" si="46"/>
        <v>0.63825142160844839</v>
      </c>
      <c r="W32" s="13">
        <f t="shared" si="46"/>
        <v>0.74768384481760275</v>
      </c>
      <c r="X32" s="13">
        <f t="shared" si="46"/>
        <v>0.66505123234561059</v>
      </c>
      <c r="Y32" s="1"/>
      <c r="Z32" s="1"/>
      <c r="AA32" s="45"/>
      <c r="AB32" s="47"/>
      <c r="AC32" s="47"/>
      <c r="AD32" s="1"/>
      <c r="AE32" s="7"/>
      <c r="AF32" s="7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</row>
    <row r="33" spans="1:60" ht="24.75" customHeight="1">
      <c r="A33" s="1"/>
      <c r="B33" s="53" t="s">
        <v>65</v>
      </c>
      <c r="C33" s="13">
        <f>C29/C31</f>
        <v>0.19469026548672566</v>
      </c>
      <c r="D33" s="13">
        <f t="shared" ref="D33:X33" si="47">D29/D31</f>
        <v>0.18121763970719515</v>
      </c>
      <c r="E33" s="13">
        <f t="shared" si="47"/>
        <v>0.13439077144917086</v>
      </c>
      <c r="F33" s="13">
        <f t="shared" si="47"/>
        <v>0.15171948752528658</v>
      </c>
      <c r="G33" s="13">
        <f t="shared" si="47"/>
        <v>0.17170967143122332</v>
      </c>
      <c r="H33" s="13">
        <f t="shared" si="47"/>
        <v>0.2050799623706491</v>
      </c>
      <c r="I33" s="13">
        <f t="shared" si="47"/>
        <v>0.1614985590778098</v>
      </c>
      <c r="J33" s="13">
        <f t="shared" si="47"/>
        <v>0.19195189639222943</v>
      </c>
      <c r="K33" s="13">
        <f t="shared" si="47"/>
        <v>0.17848760077558934</v>
      </c>
      <c r="L33" s="13">
        <f t="shared" si="47"/>
        <v>0.23804562975309929</v>
      </c>
      <c r="M33" s="13">
        <f t="shared" si="47"/>
        <v>0.10153804273853273</v>
      </c>
      <c r="N33" s="13">
        <f t="shared" si="47"/>
        <v>0.22340106095485937</v>
      </c>
      <c r="O33" s="13">
        <f t="shared" si="47"/>
        <v>0.18448837024688419</v>
      </c>
      <c r="P33" s="13">
        <f t="shared" si="47"/>
        <v>0.1878902398948406</v>
      </c>
      <c r="Q33" s="13">
        <f t="shared" si="47"/>
        <v>0.13973978076016802</v>
      </c>
      <c r="R33" s="13">
        <f t="shared" si="47"/>
        <v>8.6663862010938161E-2</v>
      </c>
      <c r="S33" s="13">
        <f t="shared" si="47"/>
        <v>0.16271743596767566</v>
      </c>
      <c r="T33" s="13">
        <f t="shared" si="47"/>
        <v>0.1549617295555257</v>
      </c>
      <c r="U33" s="13">
        <f t="shared" si="47"/>
        <v>0.18758473755568467</v>
      </c>
      <c r="V33" s="13">
        <f t="shared" si="47"/>
        <v>0.26553177949248269</v>
      </c>
      <c r="W33" s="13">
        <f t="shared" si="47"/>
        <v>0.23920619554695063</v>
      </c>
      <c r="X33" s="13">
        <f t="shared" si="47"/>
        <v>0.29429523214657505</v>
      </c>
      <c r="Y33" s="1"/>
      <c r="Z33" s="1"/>
      <c r="AA33" s="45"/>
      <c r="AB33" s="47"/>
      <c r="AC33" s="47"/>
      <c r="AD33" s="1"/>
      <c r="AE33" s="7"/>
      <c r="AF33" s="7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</row>
    <row r="34" spans="1:60" ht="24.75" customHeight="1">
      <c r="A34" s="1"/>
      <c r="B34" s="51"/>
      <c r="C34" s="1"/>
      <c r="D34" s="1"/>
      <c r="E34" s="1"/>
      <c r="F34" s="1"/>
      <c r="G34" s="1"/>
      <c r="H34" s="1"/>
      <c r="I34" s="1"/>
      <c r="J34" s="1"/>
      <c r="K34" s="1"/>
      <c r="L34" s="2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45"/>
      <c r="AB34" s="47"/>
      <c r="AC34" s="47"/>
      <c r="AD34" s="1"/>
      <c r="AE34" s="7"/>
      <c r="AF34" s="7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</row>
    <row r="35" spans="1:60" ht="24.75" customHeight="1">
      <c r="A35" s="1"/>
      <c r="B35" s="51" t="s">
        <v>66</v>
      </c>
      <c r="C35" s="1"/>
      <c r="D35" s="1"/>
      <c r="E35" s="1"/>
      <c r="F35" s="1"/>
      <c r="G35" s="1"/>
      <c r="H35" s="1"/>
      <c r="I35" s="1"/>
      <c r="J35" s="1"/>
      <c r="K35" s="1"/>
      <c r="L35" s="2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45"/>
      <c r="AB35" s="47"/>
      <c r="AC35" s="47"/>
      <c r="AD35" s="1"/>
      <c r="AE35" s="7"/>
      <c r="AF35" s="7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</row>
    <row r="36" spans="1:60" ht="24.75" customHeight="1" thickBot="1">
      <c r="A36" s="1"/>
      <c r="B36" s="14" t="s">
        <v>44</v>
      </c>
      <c r="C36" s="15" t="s">
        <v>0</v>
      </c>
      <c r="D36" s="15" t="s">
        <v>1</v>
      </c>
      <c r="E36" s="15" t="s">
        <v>2</v>
      </c>
      <c r="F36" s="15" t="s">
        <v>3</v>
      </c>
      <c r="G36" s="15" t="s">
        <v>4</v>
      </c>
      <c r="H36" s="15" t="s">
        <v>5</v>
      </c>
      <c r="I36" s="15" t="s">
        <v>6</v>
      </c>
      <c r="J36" s="15" t="s">
        <v>7</v>
      </c>
      <c r="K36" s="52" t="s">
        <v>8</v>
      </c>
      <c r="L36" s="17" t="s">
        <v>9</v>
      </c>
      <c r="M36" s="15" t="s">
        <v>10</v>
      </c>
      <c r="N36" s="15" t="s">
        <v>11</v>
      </c>
      <c r="O36" s="15" t="s">
        <v>12</v>
      </c>
      <c r="P36" s="15" t="s">
        <v>13</v>
      </c>
      <c r="Q36" s="15" t="s">
        <v>14</v>
      </c>
      <c r="R36" s="15" t="s">
        <v>15</v>
      </c>
      <c r="S36" s="15" t="s">
        <v>16</v>
      </c>
      <c r="T36" s="15" t="s">
        <v>17</v>
      </c>
      <c r="U36" s="15" t="s">
        <v>18</v>
      </c>
      <c r="V36" s="15" t="s">
        <v>19</v>
      </c>
      <c r="W36" s="15" t="s">
        <v>20</v>
      </c>
      <c r="X36" s="15" t="s">
        <v>21</v>
      </c>
      <c r="Y36" s="1"/>
      <c r="Z36" s="1"/>
      <c r="AA36" s="45"/>
      <c r="AB36" s="47"/>
      <c r="AC36" s="47"/>
      <c r="AD36" s="1"/>
      <c r="AE36" s="7"/>
      <c r="AF36" s="7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</row>
    <row r="37" spans="1:60" ht="24.75" customHeight="1" thickTop="1">
      <c r="A37" s="1"/>
      <c r="B37" s="53" t="s">
        <v>60</v>
      </c>
      <c r="C37" s="11">
        <v>3019</v>
      </c>
      <c r="D37" s="11">
        <v>3012</v>
      </c>
      <c r="E37" s="11">
        <v>2547</v>
      </c>
      <c r="F37" s="11">
        <v>2612</v>
      </c>
      <c r="G37" s="11">
        <v>2819</v>
      </c>
      <c r="H37" s="11"/>
      <c r="I37" s="11"/>
      <c r="J37" s="11"/>
      <c r="K37" s="11"/>
      <c r="L37" s="54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"/>
      <c r="Z37" s="1"/>
      <c r="AA37" s="45"/>
      <c r="AB37" s="47"/>
      <c r="AC37" s="47"/>
      <c r="AD37" s="1"/>
      <c r="AE37" s="7"/>
      <c r="AF37" s="7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</row>
    <row r="38" spans="1:60" ht="24.75" customHeight="1">
      <c r="A38" s="1"/>
      <c r="B38" s="53" t="s">
        <v>29</v>
      </c>
      <c r="C38" s="11">
        <v>602</v>
      </c>
      <c r="D38" s="11">
        <v>376</v>
      </c>
      <c r="E38" s="11">
        <v>422</v>
      </c>
      <c r="F38" s="11">
        <v>439</v>
      </c>
      <c r="G38" s="11">
        <v>276</v>
      </c>
      <c r="H38" s="11"/>
      <c r="I38" s="11"/>
      <c r="J38" s="11"/>
      <c r="K38" s="11"/>
      <c r="L38" s="54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"/>
      <c r="Z38" s="1"/>
      <c r="AA38" s="45"/>
      <c r="AB38" s="47"/>
      <c r="AC38" s="47"/>
      <c r="AD38" s="1"/>
      <c r="AE38" s="7"/>
      <c r="AF38" s="7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</row>
    <row r="39" spans="1:60" ht="24.75" customHeight="1">
      <c r="A39" s="1"/>
      <c r="B39" s="51"/>
      <c r="C39" s="1"/>
      <c r="D39" s="1"/>
      <c r="E39" s="1"/>
      <c r="F39" s="1"/>
      <c r="G39" s="1"/>
      <c r="H39" s="1"/>
      <c r="I39" s="1"/>
      <c r="J39" s="1"/>
      <c r="K39" s="1"/>
      <c r="L39" s="2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45"/>
      <c r="AB39" s="47"/>
      <c r="AC39" s="47"/>
      <c r="AD39" s="1"/>
      <c r="AE39" s="7"/>
      <c r="AF39" s="7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</row>
    <row r="40" spans="1:60" ht="24.75" customHeight="1">
      <c r="A40" s="1"/>
      <c r="B40" s="1" t="s">
        <v>67</v>
      </c>
      <c r="C40" s="1"/>
      <c r="D40" s="1"/>
      <c r="E40" s="1"/>
      <c r="F40" s="1"/>
      <c r="G40" s="1"/>
      <c r="H40" s="1"/>
      <c r="I40" s="1"/>
      <c r="J40" s="1"/>
      <c r="K40" s="9"/>
      <c r="L40" s="10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45"/>
      <c r="AB40" s="47"/>
      <c r="AC40" s="47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</row>
    <row r="41" spans="1:60" ht="24.75" customHeight="1" thickBot="1">
      <c r="A41" s="1"/>
      <c r="B41" s="14" t="s">
        <v>41</v>
      </c>
      <c r="C41" s="15" t="s">
        <v>0</v>
      </c>
      <c r="D41" s="15" t="s">
        <v>1</v>
      </c>
      <c r="E41" s="15" t="s">
        <v>2</v>
      </c>
      <c r="F41" s="55" t="s">
        <v>3</v>
      </c>
      <c r="G41" s="55" t="s">
        <v>4</v>
      </c>
      <c r="H41" s="55" t="s">
        <v>5</v>
      </c>
      <c r="I41" s="55" t="s">
        <v>6</v>
      </c>
      <c r="J41" s="55" t="s">
        <v>7</v>
      </c>
      <c r="K41" s="55" t="s">
        <v>8</v>
      </c>
      <c r="L41" s="56" t="s">
        <v>9</v>
      </c>
      <c r="M41" s="55" t="s">
        <v>10</v>
      </c>
      <c r="N41" s="55" t="s">
        <v>11</v>
      </c>
      <c r="O41" s="55" t="s">
        <v>12</v>
      </c>
      <c r="P41" s="55" t="s">
        <v>13</v>
      </c>
      <c r="Q41" s="55" t="s">
        <v>14</v>
      </c>
      <c r="R41" s="55" t="s">
        <v>15</v>
      </c>
      <c r="S41" s="55" t="s">
        <v>16</v>
      </c>
      <c r="T41" s="55" t="s">
        <v>17</v>
      </c>
      <c r="U41" s="55" t="s">
        <v>18</v>
      </c>
      <c r="V41" s="55" t="s">
        <v>19</v>
      </c>
      <c r="W41" s="55" t="s">
        <v>20</v>
      </c>
      <c r="X41" s="55" t="s">
        <v>21</v>
      </c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</row>
    <row r="42" spans="1:60" ht="24.75" customHeight="1">
      <c r="A42" s="1"/>
      <c r="B42" s="41" t="s">
        <v>68</v>
      </c>
      <c r="C42" s="22">
        <v>1885</v>
      </c>
      <c r="D42" s="22">
        <f>3044-C42</f>
        <v>1159</v>
      </c>
      <c r="E42" s="22">
        <f>4904-D42-C42</f>
        <v>1860</v>
      </c>
      <c r="F42" s="18">
        <f>7222-E42-D42-C42</f>
        <v>2318</v>
      </c>
      <c r="G42" s="18">
        <v>1469</v>
      </c>
      <c r="H42" s="18">
        <f>4285-G42</f>
        <v>2816</v>
      </c>
      <c r="I42" s="18">
        <f>7408-H42-G42</f>
        <v>3123</v>
      </c>
      <c r="J42" s="18">
        <f>12984-I42-H42-G42</f>
        <v>5576</v>
      </c>
      <c r="K42" s="18">
        <v>3361</v>
      </c>
      <c r="L42" s="57">
        <f>9632-K42</f>
        <v>6271</v>
      </c>
      <c r="M42" s="18">
        <f>16242-L42-K42</f>
        <v>6610</v>
      </c>
      <c r="N42" s="18">
        <f>19980-M42-L42-K42</f>
        <v>3738</v>
      </c>
      <c r="O42" s="18">
        <v>2572</v>
      </c>
      <c r="P42" s="18">
        <f>7858-O42</f>
        <v>5286</v>
      </c>
      <c r="Q42" s="18">
        <f>10990-P42-O42</f>
        <v>3132</v>
      </c>
      <c r="R42" s="18">
        <f>15803-Q42-P42-O42</f>
        <v>4813</v>
      </c>
      <c r="S42" s="18">
        <v>3471</v>
      </c>
      <c r="T42" s="18">
        <f>6345-S42</f>
        <v>2874</v>
      </c>
      <c r="U42" s="18">
        <f>10516-T42-S42</f>
        <v>4171</v>
      </c>
      <c r="V42" s="18">
        <f>18561-U42-T42-S42</f>
        <v>8045</v>
      </c>
      <c r="W42" s="18">
        <v>4103</v>
      </c>
      <c r="X42" s="18">
        <f>8485-W42</f>
        <v>4382</v>
      </c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</row>
    <row r="43" spans="1:60" ht="24.75" customHeight="1">
      <c r="A43" s="1"/>
      <c r="B43" s="11" t="s">
        <v>69</v>
      </c>
      <c r="C43" s="22">
        <v>7308</v>
      </c>
      <c r="D43" s="22">
        <f>22363-C43</f>
        <v>15055</v>
      </c>
      <c r="E43" s="22">
        <f>36073-D43-C43</f>
        <v>13710</v>
      </c>
      <c r="F43" s="22">
        <f>47184-E43-D43-C43</f>
        <v>11111</v>
      </c>
      <c r="G43" s="22">
        <v>7271</v>
      </c>
      <c r="H43" s="22">
        <f>16291-G43</f>
        <v>9020</v>
      </c>
      <c r="I43" s="22">
        <f>26693-H43-G43</f>
        <v>10402</v>
      </c>
      <c r="J43" s="22">
        <f>41379-I43-H43-G43</f>
        <v>14686</v>
      </c>
      <c r="K43" s="22">
        <v>9672</v>
      </c>
      <c r="L43" s="58">
        <f>22873-K43</f>
        <v>13201</v>
      </c>
      <c r="M43" s="22">
        <f>32378-L43-K43</f>
        <v>9505</v>
      </c>
      <c r="N43" s="22">
        <f>44897-M43-L43-K43</f>
        <v>12519</v>
      </c>
      <c r="O43" s="22">
        <v>12164</v>
      </c>
      <c r="P43" s="22">
        <f>27562-O43</f>
        <v>15398</v>
      </c>
      <c r="Q43" s="22">
        <f>42163-P43-O43</f>
        <v>14601</v>
      </c>
      <c r="R43" s="22">
        <f>58859-Q43-P43-O43</f>
        <v>16696</v>
      </c>
      <c r="S43" s="22">
        <v>9583</v>
      </c>
      <c r="T43" s="22">
        <f>21178-S43</f>
        <v>11595</v>
      </c>
      <c r="U43" s="22">
        <f>33047-T43-S43</f>
        <v>11869</v>
      </c>
      <c r="V43" s="22">
        <f>48602-U43-T43-S43</f>
        <v>15555</v>
      </c>
      <c r="W43" s="22">
        <v>11306</v>
      </c>
      <c r="X43" s="22">
        <f>24933-W43</f>
        <v>13627</v>
      </c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</row>
    <row r="44" spans="1:60" ht="24.75" customHeight="1">
      <c r="A44" s="1"/>
      <c r="B44" s="11" t="s">
        <v>70</v>
      </c>
      <c r="C44" s="22">
        <f>C42+C43</f>
        <v>9193</v>
      </c>
      <c r="D44" s="22">
        <f t="shared" ref="D44:W44" si="48">D42+D43</f>
        <v>16214</v>
      </c>
      <c r="E44" s="22">
        <f t="shared" si="48"/>
        <v>15570</v>
      </c>
      <c r="F44" s="22">
        <f t="shared" si="48"/>
        <v>13429</v>
      </c>
      <c r="G44" s="22">
        <f t="shared" si="48"/>
        <v>8740</v>
      </c>
      <c r="H44" s="22">
        <f t="shared" si="48"/>
        <v>11836</v>
      </c>
      <c r="I44" s="22">
        <f t="shared" si="48"/>
        <v>13525</v>
      </c>
      <c r="J44" s="22">
        <f t="shared" si="48"/>
        <v>20262</v>
      </c>
      <c r="K44" s="22">
        <f t="shared" si="48"/>
        <v>13033</v>
      </c>
      <c r="L44" s="22">
        <f t="shared" si="48"/>
        <v>19472</v>
      </c>
      <c r="M44" s="22">
        <f t="shared" si="48"/>
        <v>16115</v>
      </c>
      <c r="N44" s="22">
        <f t="shared" si="48"/>
        <v>16257</v>
      </c>
      <c r="O44" s="22">
        <f t="shared" si="48"/>
        <v>14736</v>
      </c>
      <c r="P44" s="22">
        <f t="shared" si="48"/>
        <v>20684</v>
      </c>
      <c r="Q44" s="22">
        <f t="shared" si="48"/>
        <v>17733</v>
      </c>
      <c r="R44" s="22">
        <f t="shared" si="48"/>
        <v>21509</v>
      </c>
      <c r="S44" s="22">
        <f t="shared" si="48"/>
        <v>13054</v>
      </c>
      <c r="T44" s="22">
        <f t="shared" si="48"/>
        <v>14469</v>
      </c>
      <c r="U44" s="22">
        <f t="shared" si="48"/>
        <v>16040</v>
      </c>
      <c r="V44" s="22">
        <f t="shared" si="48"/>
        <v>23600</v>
      </c>
      <c r="W44" s="22">
        <f t="shared" si="48"/>
        <v>15409</v>
      </c>
      <c r="X44" s="22">
        <f>33418-W44</f>
        <v>18009</v>
      </c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</row>
    <row r="45" spans="1:60" ht="24.75" customHeight="1">
      <c r="A45" s="1"/>
      <c r="B45" s="11" t="s">
        <v>71</v>
      </c>
      <c r="C45" s="41">
        <v>179</v>
      </c>
      <c r="D45" s="22">
        <f>1282-C45</f>
        <v>1103</v>
      </c>
      <c r="E45" s="22">
        <f>1600-D45-C45</f>
        <v>318</v>
      </c>
      <c r="F45" s="22">
        <f>2043-E45-D45-C45</f>
        <v>443</v>
      </c>
      <c r="G45" s="22">
        <v>297</v>
      </c>
      <c r="H45" s="22">
        <f>966-G45</f>
        <v>669</v>
      </c>
      <c r="I45" s="22">
        <f>2678-H45-G45</f>
        <v>1712</v>
      </c>
      <c r="J45" s="22">
        <f>3721-I45-H45-G45</f>
        <v>1043</v>
      </c>
      <c r="K45" s="22">
        <v>380</v>
      </c>
      <c r="L45" s="58">
        <f>1331-K45</f>
        <v>951</v>
      </c>
      <c r="M45" s="22">
        <f>2237-L45-K45</f>
        <v>906</v>
      </c>
      <c r="N45" s="22">
        <f>3138-M45-L45-K45</f>
        <v>901</v>
      </c>
      <c r="O45" s="22">
        <v>515</v>
      </c>
      <c r="P45" s="22">
        <f>1398-O45</f>
        <v>883</v>
      </c>
      <c r="Q45" s="22">
        <f>2107-P45-O45</f>
        <v>709</v>
      </c>
      <c r="R45" s="22">
        <f>2342-Q45-P45-O45</f>
        <v>235</v>
      </c>
      <c r="S45" s="22">
        <v>512</v>
      </c>
      <c r="T45" s="22">
        <f>1318-S45</f>
        <v>806</v>
      </c>
      <c r="U45" s="22">
        <f>1725-T45-S45</f>
        <v>407</v>
      </c>
      <c r="V45" s="22">
        <f>2619-U45-T45-S45</f>
        <v>894</v>
      </c>
      <c r="W45" s="22">
        <v>422</v>
      </c>
      <c r="X45" s="22">
        <f>1234-W45</f>
        <v>812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</row>
    <row r="46" spans="1:60" ht="24.75" customHeight="1">
      <c r="A46" s="1"/>
      <c r="B46" s="11" t="s">
        <v>72</v>
      </c>
      <c r="C46" s="11">
        <v>1461</v>
      </c>
      <c r="D46" s="59">
        <f>4974-C46</f>
        <v>3513</v>
      </c>
      <c r="E46" s="41">
        <f>6734-D46-C46</f>
        <v>1760</v>
      </c>
      <c r="F46" s="41">
        <f>9417-E46-D46-C46</f>
        <v>2683</v>
      </c>
      <c r="G46" s="41">
        <v>1584</v>
      </c>
      <c r="H46" s="41">
        <f>3097-G46</f>
        <v>1513</v>
      </c>
      <c r="I46" s="41">
        <f>5101-H46-G46</f>
        <v>2004</v>
      </c>
      <c r="J46" s="41">
        <f>7827-I46-H46-G46</f>
        <v>2726</v>
      </c>
      <c r="K46" s="41">
        <v>1339</v>
      </c>
      <c r="L46" s="41">
        <f>3356-K46</f>
        <v>2017</v>
      </c>
      <c r="M46" s="41">
        <f>4962-L46-K46</f>
        <v>1606</v>
      </c>
      <c r="N46" s="41">
        <f>6974-M46-L46-K46</f>
        <v>2012</v>
      </c>
      <c r="O46" s="41">
        <v>3869</v>
      </c>
      <c r="P46" s="41">
        <f>8068-O46</f>
        <v>4199</v>
      </c>
      <c r="Q46" s="41">
        <f>10517-P46-O46</f>
        <v>2449</v>
      </c>
      <c r="R46" s="41">
        <f>13837-Q46-P46-O46</f>
        <v>3320</v>
      </c>
      <c r="S46" s="41">
        <v>2058</v>
      </c>
      <c r="T46" s="41">
        <f>3629-S46</f>
        <v>1571</v>
      </c>
      <c r="U46" s="41">
        <f>6079-T46-S46</f>
        <v>2450</v>
      </c>
      <c r="V46" s="41">
        <f>8961-U46-T46-S46</f>
        <v>2882</v>
      </c>
      <c r="W46" s="41">
        <v>2230</v>
      </c>
      <c r="X46" s="41">
        <f>4715-W46</f>
        <v>2485</v>
      </c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</row>
    <row r="47" spans="1:60" ht="24.75" customHeight="1">
      <c r="A47" s="1"/>
      <c r="B47" s="11" t="s">
        <v>73</v>
      </c>
      <c r="C47" s="11">
        <f>C46+C45</f>
        <v>1640</v>
      </c>
      <c r="D47" s="11">
        <f t="shared" ref="D47:W47" si="49">D46+D45</f>
        <v>4616</v>
      </c>
      <c r="E47" s="11">
        <f t="shared" si="49"/>
        <v>2078</v>
      </c>
      <c r="F47" s="11">
        <f t="shared" si="49"/>
        <v>3126</v>
      </c>
      <c r="G47" s="11">
        <f t="shared" si="49"/>
        <v>1881</v>
      </c>
      <c r="H47" s="11">
        <f t="shared" si="49"/>
        <v>2182</v>
      </c>
      <c r="I47" s="11">
        <f t="shared" si="49"/>
        <v>3716</v>
      </c>
      <c r="J47" s="11">
        <f t="shared" si="49"/>
        <v>3769</v>
      </c>
      <c r="K47" s="11">
        <f t="shared" si="49"/>
        <v>1719</v>
      </c>
      <c r="L47" s="11">
        <f t="shared" si="49"/>
        <v>2968</v>
      </c>
      <c r="M47" s="11">
        <f t="shared" si="49"/>
        <v>2512</v>
      </c>
      <c r="N47" s="11">
        <f t="shared" si="49"/>
        <v>2913</v>
      </c>
      <c r="O47" s="11">
        <f t="shared" si="49"/>
        <v>4384</v>
      </c>
      <c r="P47" s="11">
        <f t="shared" si="49"/>
        <v>5082</v>
      </c>
      <c r="Q47" s="11">
        <f t="shared" si="49"/>
        <v>3158</v>
      </c>
      <c r="R47" s="11">
        <f t="shared" si="49"/>
        <v>3555</v>
      </c>
      <c r="S47" s="11">
        <f t="shared" si="49"/>
        <v>2570</v>
      </c>
      <c r="T47" s="11">
        <f t="shared" si="49"/>
        <v>2377</v>
      </c>
      <c r="U47" s="11">
        <f t="shared" si="49"/>
        <v>2857</v>
      </c>
      <c r="V47" s="11">
        <f t="shared" si="49"/>
        <v>3776</v>
      </c>
      <c r="W47" s="11">
        <f t="shared" si="49"/>
        <v>2652</v>
      </c>
      <c r="X47" s="11">
        <f>5949-W47</f>
        <v>3297</v>
      </c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</row>
    <row r="48" spans="1:60" ht="24.75" customHeight="1">
      <c r="A48" s="1"/>
      <c r="B48" s="11" t="s">
        <v>62</v>
      </c>
      <c r="C48" s="11">
        <f>C44+C47</f>
        <v>10833</v>
      </c>
      <c r="D48" s="11">
        <f t="shared" ref="D48:W48" si="50">D44+D47</f>
        <v>20830</v>
      </c>
      <c r="E48" s="11">
        <f t="shared" si="50"/>
        <v>17648</v>
      </c>
      <c r="F48" s="11">
        <f t="shared" si="50"/>
        <v>16555</v>
      </c>
      <c r="G48" s="11">
        <f t="shared" si="50"/>
        <v>10621</v>
      </c>
      <c r="H48" s="11">
        <f t="shared" si="50"/>
        <v>14018</v>
      </c>
      <c r="I48" s="11">
        <f t="shared" si="50"/>
        <v>17241</v>
      </c>
      <c r="J48" s="11">
        <f t="shared" si="50"/>
        <v>24031</v>
      </c>
      <c r="K48" s="11">
        <f t="shared" si="50"/>
        <v>14752</v>
      </c>
      <c r="L48" s="11">
        <f t="shared" si="50"/>
        <v>22440</v>
      </c>
      <c r="M48" s="11">
        <f t="shared" si="50"/>
        <v>18627</v>
      </c>
      <c r="N48" s="11">
        <f t="shared" si="50"/>
        <v>19170</v>
      </c>
      <c r="O48" s="11">
        <f t="shared" si="50"/>
        <v>19120</v>
      </c>
      <c r="P48" s="11">
        <f t="shared" si="50"/>
        <v>25766</v>
      </c>
      <c r="Q48" s="11">
        <f t="shared" si="50"/>
        <v>20891</v>
      </c>
      <c r="R48" s="11">
        <f t="shared" si="50"/>
        <v>25064</v>
      </c>
      <c r="S48" s="11">
        <f t="shared" si="50"/>
        <v>15624</v>
      </c>
      <c r="T48" s="11">
        <f t="shared" si="50"/>
        <v>16846</v>
      </c>
      <c r="U48" s="11">
        <f t="shared" si="50"/>
        <v>18897</v>
      </c>
      <c r="V48" s="11">
        <f t="shared" si="50"/>
        <v>27376</v>
      </c>
      <c r="W48" s="11">
        <f t="shared" si="50"/>
        <v>18061</v>
      </c>
      <c r="X48" s="11">
        <f>39367-W48</f>
        <v>21306</v>
      </c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</row>
    <row r="49" spans="1:60" ht="24.75" customHeight="1">
      <c r="A49" s="1"/>
      <c r="B49" s="11" t="s">
        <v>74</v>
      </c>
      <c r="C49" s="13">
        <f>C44/C6</f>
        <v>0.84845408398707889</v>
      </c>
      <c r="D49" s="13">
        <f t="shared" ref="D49:X49" si="51">D44/D6</f>
        <v>0.77847128864989434</v>
      </c>
      <c r="E49" s="13">
        <f t="shared" si="51"/>
        <v>0.88225294650951946</v>
      </c>
      <c r="F49" s="13">
        <f t="shared" si="51"/>
        <v>0.81122387338407631</v>
      </c>
      <c r="G49" s="13">
        <f t="shared" si="51"/>
        <v>0.82274310458439237</v>
      </c>
      <c r="H49" s="13">
        <f t="shared" si="51"/>
        <v>0.84452372458080627</v>
      </c>
      <c r="I49" s="13">
        <f t="shared" si="51"/>
        <v>0.78451276102088163</v>
      </c>
      <c r="J49" s="13">
        <f t="shared" si="51"/>
        <v>0.84309075021844959</v>
      </c>
      <c r="K49" s="13">
        <f t="shared" si="51"/>
        <v>0.88347342733188716</v>
      </c>
      <c r="L49" s="13">
        <f t="shared" si="51"/>
        <v>0.86777485627701767</v>
      </c>
      <c r="M49" s="13">
        <f t="shared" si="51"/>
        <v>0.86514199817469262</v>
      </c>
      <c r="N49" s="13">
        <f t="shared" si="51"/>
        <v>0.8479995827030411</v>
      </c>
      <c r="O49" s="13">
        <f t="shared" si="51"/>
        <v>0.77071129707112973</v>
      </c>
      <c r="P49" s="13">
        <f t="shared" si="51"/>
        <v>0.80279448864738989</v>
      </c>
      <c r="Q49" s="13">
        <f t="shared" si="51"/>
        <v>0.84887505983724265</v>
      </c>
      <c r="R49" s="13">
        <f t="shared" si="51"/>
        <v>0.85809463017633447</v>
      </c>
      <c r="S49" s="13">
        <f t="shared" si="51"/>
        <v>0.83550947260624675</v>
      </c>
      <c r="T49" s="13">
        <f t="shared" si="51"/>
        <v>0.8588982547785825</v>
      </c>
      <c r="U49" s="13">
        <f t="shared" si="51"/>
        <v>0.84881198073768327</v>
      </c>
      <c r="V49" s="13">
        <f t="shared" si="51"/>
        <v>0.86210045662100454</v>
      </c>
      <c r="W49" s="13">
        <f t="shared" si="51"/>
        <v>0.85316427661812744</v>
      </c>
      <c r="X49" s="13">
        <f t="shared" si="51"/>
        <v>0.84529453180004699</v>
      </c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</row>
    <row r="50" spans="1:60" ht="24.75" customHeight="1">
      <c r="A50" s="1"/>
      <c r="B50" s="1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1"/>
      <c r="Z50" s="1" t="s">
        <v>75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</row>
    <row r="51" spans="1:60" ht="24.75" customHeight="1">
      <c r="A51" s="1"/>
      <c r="B51" s="1" t="s">
        <v>76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1"/>
      <c r="Z51" s="1" t="s">
        <v>32</v>
      </c>
      <c r="AA51" s="1">
        <v>30</v>
      </c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</row>
    <row r="52" spans="1:60" ht="24.75" customHeight="1" thickBot="1">
      <c r="A52" s="1"/>
      <c r="B52" s="14" t="s">
        <v>41</v>
      </c>
      <c r="C52" s="15" t="s">
        <v>0</v>
      </c>
      <c r="D52" s="15" t="s">
        <v>1</v>
      </c>
      <c r="E52" s="15" t="s">
        <v>2</v>
      </c>
      <c r="F52" s="55" t="s">
        <v>3</v>
      </c>
      <c r="G52" s="55" t="s">
        <v>4</v>
      </c>
      <c r="H52" s="55" t="s">
        <v>5</v>
      </c>
      <c r="I52" s="55" t="s">
        <v>6</v>
      </c>
      <c r="J52" s="55" t="s">
        <v>7</v>
      </c>
      <c r="K52" s="55" t="s">
        <v>8</v>
      </c>
      <c r="L52" s="56" t="s">
        <v>9</v>
      </c>
      <c r="M52" s="55" t="s">
        <v>10</v>
      </c>
      <c r="N52" s="55" t="s">
        <v>11</v>
      </c>
      <c r="O52" s="55" t="s">
        <v>12</v>
      </c>
      <c r="P52" s="55" t="s">
        <v>13</v>
      </c>
      <c r="Q52" s="55" t="s">
        <v>14</v>
      </c>
      <c r="R52" s="55" t="s">
        <v>15</v>
      </c>
      <c r="S52" s="55" t="s">
        <v>16</v>
      </c>
      <c r="T52" s="55" t="s">
        <v>17</v>
      </c>
      <c r="U52" s="55" t="s">
        <v>18</v>
      </c>
      <c r="V52" s="55" t="s">
        <v>19</v>
      </c>
      <c r="W52" s="55" t="s">
        <v>20</v>
      </c>
      <c r="X52" s="55" t="s">
        <v>21</v>
      </c>
      <c r="Y52" s="1"/>
      <c r="Z52" s="1" t="s">
        <v>33</v>
      </c>
      <c r="AA52" s="1">
        <v>100</v>
      </c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</row>
    <row r="53" spans="1:60" ht="24.75" customHeight="1" thickTop="1">
      <c r="A53" s="1"/>
      <c r="B53" s="11" t="s">
        <v>77</v>
      </c>
      <c r="C53" s="60">
        <f>(C44*0.65)*0.5/$AA$51</f>
        <v>99.590833333333336</v>
      </c>
      <c r="D53" s="60">
        <f t="shared" ref="D53:X53" si="52">(D44*0.65)*0.5/$AA$51</f>
        <v>175.65166666666667</v>
      </c>
      <c r="E53" s="60">
        <f t="shared" si="52"/>
        <v>168.67500000000001</v>
      </c>
      <c r="F53" s="60">
        <f t="shared" si="52"/>
        <v>145.48083333333335</v>
      </c>
      <c r="G53" s="60">
        <f t="shared" si="52"/>
        <v>94.683333333333337</v>
      </c>
      <c r="H53" s="60">
        <f t="shared" si="52"/>
        <v>128.22333333333333</v>
      </c>
      <c r="I53" s="60">
        <f t="shared" si="52"/>
        <v>146.52083333333334</v>
      </c>
      <c r="J53" s="60">
        <f t="shared" si="52"/>
        <v>219.50500000000002</v>
      </c>
      <c r="K53" s="60">
        <f t="shared" si="52"/>
        <v>141.19083333333336</v>
      </c>
      <c r="L53" s="60">
        <f t="shared" si="52"/>
        <v>210.94666666666669</v>
      </c>
      <c r="M53" s="60">
        <f t="shared" si="52"/>
        <v>174.57916666666668</v>
      </c>
      <c r="N53" s="60">
        <f t="shared" si="52"/>
        <v>176.11750000000001</v>
      </c>
      <c r="O53" s="60">
        <f t="shared" si="52"/>
        <v>159.63999999999999</v>
      </c>
      <c r="P53" s="60">
        <f t="shared" si="52"/>
        <v>224.07666666666668</v>
      </c>
      <c r="Q53" s="60">
        <f t="shared" si="52"/>
        <v>192.10750000000002</v>
      </c>
      <c r="R53" s="60">
        <f t="shared" si="52"/>
        <v>233.01416666666668</v>
      </c>
      <c r="S53" s="60">
        <f t="shared" si="52"/>
        <v>141.41833333333335</v>
      </c>
      <c r="T53" s="60">
        <f t="shared" si="52"/>
        <v>156.7475</v>
      </c>
      <c r="U53" s="60">
        <f t="shared" si="52"/>
        <v>173.76666666666668</v>
      </c>
      <c r="V53" s="60">
        <f t="shared" si="52"/>
        <v>255.66666666666666</v>
      </c>
      <c r="W53" s="60">
        <f t="shared" si="52"/>
        <v>166.93083333333334</v>
      </c>
      <c r="X53" s="60">
        <f t="shared" si="52"/>
        <v>195.0975</v>
      </c>
      <c r="Y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</row>
    <row r="54" spans="1:60" ht="24.75" customHeight="1">
      <c r="A54" s="1"/>
      <c r="B54" s="11" t="s">
        <v>78</v>
      </c>
      <c r="C54" s="60">
        <f>(C44*0.65)*0.1/$AA$52</f>
        <v>5.9754499999999995</v>
      </c>
      <c r="D54" s="60">
        <f t="shared" ref="D54:X54" si="53">(D44*0.65)*0.1/$AA$52</f>
        <v>10.539100000000001</v>
      </c>
      <c r="E54" s="60">
        <f t="shared" si="53"/>
        <v>10.1205</v>
      </c>
      <c r="F54" s="60">
        <f t="shared" si="53"/>
        <v>8.7288500000000013</v>
      </c>
      <c r="G54" s="60">
        <f t="shared" si="53"/>
        <v>5.681</v>
      </c>
      <c r="H54" s="60">
        <f t="shared" si="53"/>
        <v>7.6934000000000013</v>
      </c>
      <c r="I54" s="60">
        <f t="shared" si="53"/>
        <v>8.7912499999999998</v>
      </c>
      <c r="J54" s="60">
        <f t="shared" si="53"/>
        <v>13.170300000000003</v>
      </c>
      <c r="K54" s="60">
        <f t="shared" si="53"/>
        <v>8.4714500000000008</v>
      </c>
      <c r="L54" s="60">
        <f t="shared" si="53"/>
        <v>12.656800000000002</v>
      </c>
      <c r="M54" s="60">
        <f t="shared" si="53"/>
        <v>10.474750000000002</v>
      </c>
      <c r="N54" s="60">
        <f t="shared" si="53"/>
        <v>10.567050000000002</v>
      </c>
      <c r="O54" s="60">
        <f t="shared" si="53"/>
        <v>9.5784000000000002</v>
      </c>
      <c r="P54" s="60">
        <f t="shared" si="53"/>
        <v>13.444600000000001</v>
      </c>
      <c r="Q54" s="60">
        <f t="shared" si="53"/>
        <v>11.526450000000002</v>
      </c>
      <c r="R54" s="60">
        <f t="shared" si="53"/>
        <v>13.98085</v>
      </c>
      <c r="S54" s="60">
        <f t="shared" si="53"/>
        <v>8.485100000000001</v>
      </c>
      <c r="T54" s="60">
        <f t="shared" si="53"/>
        <v>9.4048500000000015</v>
      </c>
      <c r="U54" s="60">
        <f t="shared" si="53"/>
        <v>10.426000000000002</v>
      </c>
      <c r="V54" s="60">
        <f t="shared" si="53"/>
        <v>15.34</v>
      </c>
      <c r="W54" s="60">
        <f t="shared" si="53"/>
        <v>10.01585</v>
      </c>
      <c r="X54" s="60">
        <f t="shared" si="53"/>
        <v>11.70585</v>
      </c>
      <c r="Y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</row>
    <row r="55" spans="1:60" ht="24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2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</row>
    <row r="56" spans="1:60" ht="24.75" customHeight="1">
      <c r="A56" s="1"/>
      <c r="B56" s="1" t="s">
        <v>79</v>
      </c>
      <c r="C56" s="5"/>
      <c r="D56" s="5"/>
      <c r="E56" s="5"/>
      <c r="F56" s="5"/>
      <c r="G56" s="5"/>
      <c r="H56" s="5"/>
      <c r="I56" s="5"/>
      <c r="J56" s="5"/>
      <c r="K56" s="5"/>
      <c r="L56" s="61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</row>
    <row r="57" spans="1:60" ht="24.75" customHeight="1">
      <c r="A57" s="1"/>
      <c r="B57" s="14" t="s">
        <v>80</v>
      </c>
      <c r="C57" s="15" t="s">
        <v>0</v>
      </c>
      <c r="D57" s="15" t="s">
        <v>1</v>
      </c>
      <c r="E57" s="15" t="s">
        <v>2</v>
      </c>
      <c r="F57" s="15" t="s">
        <v>3</v>
      </c>
      <c r="G57" s="15" t="s">
        <v>4</v>
      </c>
      <c r="H57" s="15" t="s">
        <v>5</v>
      </c>
      <c r="I57" s="15" t="s">
        <v>6</v>
      </c>
      <c r="J57" s="15" t="s">
        <v>7</v>
      </c>
      <c r="K57" s="15" t="s">
        <v>8</v>
      </c>
      <c r="L57" s="17" t="s">
        <v>9</v>
      </c>
      <c r="M57" s="15" t="s">
        <v>10</v>
      </c>
      <c r="N57" s="15" t="s">
        <v>11</v>
      </c>
      <c r="O57" s="15" t="s">
        <v>12</v>
      </c>
      <c r="P57" s="15" t="s">
        <v>13</v>
      </c>
      <c r="Q57" s="15" t="s">
        <v>14</v>
      </c>
      <c r="R57" s="15" t="s">
        <v>15</v>
      </c>
      <c r="S57" s="15" t="s">
        <v>16</v>
      </c>
      <c r="T57" s="15" t="s">
        <v>17</v>
      </c>
      <c r="U57" s="15" t="s">
        <v>18</v>
      </c>
      <c r="V57" s="15" t="s">
        <v>19</v>
      </c>
      <c r="W57" s="15" t="s">
        <v>20</v>
      </c>
      <c r="X57" s="15" t="s">
        <v>21</v>
      </c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</row>
    <row r="58" spans="1:60" ht="24.75" customHeight="1">
      <c r="A58" s="1"/>
      <c r="B58" s="100" t="s">
        <v>148</v>
      </c>
      <c r="C58" s="22">
        <v>30865</v>
      </c>
      <c r="D58" s="22">
        <v>25705</v>
      </c>
      <c r="E58" s="22">
        <v>21059</v>
      </c>
      <c r="F58" s="22">
        <v>22212</v>
      </c>
      <c r="G58" s="22">
        <v>26766</v>
      </c>
      <c r="H58" s="22">
        <v>36952</v>
      </c>
      <c r="I58" s="22">
        <v>38402</v>
      </c>
      <c r="J58" s="22">
        <v>32995</v>
      </c>
      <c r="K58" s="22">
        <v>34485</v>
      </c>
      <c r="L58" s="58">
        <v>35893</v>
      </c>
      <c r="M58" s="62">
        <v>39251</v>
      </c>
      <c r="N58" s="22">
        <v>41246</v>
      </c>
      <c r="O58" s="22">
        <v>45570</v>
      </c>
      <c r="P58" s="22">
        <v>41390</v>
      </c>
      <c r="Q58" s="22">
        <v>40860</v>
      </c>
      <c r="R58" s="22">
        <v>31991</v>
      </c>
      <c r="S58" s="22">
        <v>35378</v>
      </c>
      <c r="T58" s="22">
        <v>44616</v>
      </c>
      <c r="U58" s="22">
        <v>43686</v>
      </c>
      <c r="V58" s="22">
        <v>36958</v>
      </c>
      <c r="W58" s="22">
        <v>42744</v>
      </c>
      <c r="X58" s="22">
        <v>58527</v>
      </c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</row>
    <row r="59" spans="1:60" ht="24.75" customHeight="1">
      <c r="A59" s="1"/>
      <c r="B59" s="41" t="s">
        <v>81</v>
      </c>
      <c r="C59" s="99">
        <f t="shared" ref="C59:X59" si="54">C58/C6</f>
        <v>2.8486386709736964</v>
      </c>
      <c r="D59" s="99">
        <f t="shared" si="54"/>
        <v>1.2341559439216438</v>
      </c>
      <c r="E59" s="99">
        <f t="shared" si="54"/>
        <v>1.1932796917497734</v>
      </c>
      <c r="F59" s="99">
        <f t="shared" si="54"/>
        <v>1.3417905038057267</v>
      </c>
      <c r="G59" s="99">
        <f t="shared" si="54"/>
        <v>2.5196272239480373</v>
      </c>
      <c r="H59" s="99">
        <f t="shared" si="54"/>
        <v>2.6366036389582592</v>
      </c>
      <c r="I59" s="99">
        <f t="shared" si="54"/>
        <v>2.2274941995359629</v>
      </c>
      <c r="J59" s="99">
        <f t="shared" si="54"/>
        <v>1.3729039237714808</v>
      </c>
      <c r="K59" s="99">
        <f t="shared" si="54"/>
        <v>2.3376491323210411</v>
      </c>
      <c r="L59" s="99">
        <f t="shared" si="54"/>
        <v>1.599581086501181</v>
      </c>
      <c r="M59" s="99">
        <f t="shared" si="54"/>
        <v>2.1072099640307083</v>
      </c>
      <c r="N59" s="99">
        <f t="shared" si="54"/>
        <v>2.1514787960982735</v>
      </c>
      <c r="O59" s="99">
        <f t="shared" si="54"/>
        <v>2.38336820083682</v>
      </c>
      <c r="P59" s="99">
        <f t="shared" si="54"/>
        <v>1.6064428488259266</v>
      </c>
      <c r="Q59" s="99">
        <f t="shared" si="54"/>
        <v>1.9559597893729057</v>
      </c>
      <c r="R59" s="99">
        <f t="shared" si="54"/>
        <v>1.2762706454958908</v>
      </c>
      <c r="S59" s="99">
        <f t="shared" si="54"/>
        <v>2.2643369175627241</v>
      </c>
      <c r="T59" s="99">
        <f t="shared" si="54"/>
        <v>2.6484625430369229</v>
      </c>
      <c r="U59" s="99">
        <f t="shared" si="54"/>
        <v>2.3117955230989047</v>
      </c>
      <c r="V59" s="99">
        <f t="shared" si="54"/>
        <v>1.3500639269406394</v>
      </c>
      <c r="W59" s="99">
        <f t="shared" si="54"/>
        <v>2.3666463650960634</v>
      </c>
      <c r="X59" s="99">
        <f t="shared" si="54"/>
        <v>2.7471016193381836</v>
      </c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</row>
    <row r="60" spans="1:60" ht="24.75" customHeight="1">
      <c r="A60" s="1"/>
      <c r="B60" s="11" t="s">
        <v>147</v>
      </c>
      <c r="C60" s="87">
        <f>D6</f>
        <v>20828</v>
      </c>
      <c r="D60" s="87">
        <f t="shared" ref="D60:W60" si="55">E6</f>
        <v>17648</v>
      </c>
      <c r="E60" s="87">
        <f t="shared" si="55"/>
        <v>16554</v>
      </c>
      <c r="F60" s="87">
        <f t="shared" si="55"/>
        <v>10623</v>
      </c>
      <c r="G60" s="87">
        <f t="shared" si="55"/>
        <v>14015</v>
      </c>
      <c r="H60" s="87">
        <f t="shared" si="55"/>
        <v>17240</v>
      </c>
      <c r="I60" s="87">
        <f t="shared" si="55"/>
        <v>24033</v>
      </c>
      <c r="J60" s="87">
        <f t="shared" si="55"/>
        <v>14752</v>
      </c>
      <c r="K60" s="87">
        <f t="shared" si="55"/>
        <v>22439</v>
      </c>
      <c r="L60" s="87">
        <f t="shared" si="55"/>
        <v>18627</v>
      </c>
      <c r="M60" s="87">
        <f t="shared" si="55"/>
        <v>19171</v>
      </c>
      <c r="N60" s="87">
        <f t="shared" si="55"/>
        <v>19120</v>
      </c>
      <c r="O60" s="87">
        <f t="shared" si="55"/>
        <v>25765</v>
      </c>
      <c r="P60" s="87">
        <f t="shared" si="55"/>
        <v>20890</v>
      </c>
      <c r="Q60" s="87">
        <f t="shared" si="55"/>
        <v>25066</v>
      </c>
      <c r="R60" s="87">
        <f t="shared" si="55"/>
        <v>15624</v>
      </c>
      <c r="S60" s="87">
        <f t="shared" si="55"/>
        <v>16846</v>
      </c>
      <c r="T60" s="87">
        <f t="shared" si="55"/>
        <v>18897</v>
      </c>
      <c r="U60" s="87">
        <f t="shared" si="55"/>
        <v>27375</v>
      </c>
      <c r="V60" s="87">
        <f t="shared" si="55"/>
        <v>18061</v>
      </c>
      <c r="W60" s="87">
        <f t="shared" si="55"/>
        <v>21305</v>
      </c>
      <c r="X60" s="13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</row>
    <row r="61" spans="1:60" ht="24.75" customHeight="1">
      <c r="A61" s="1"/>
      <c r="B61" s="1"/>
      <c r="C61" s="5"/>
      <c r="D61" s="5"/>
      <c r="E61" s="5"/>
      <c r="F61" s="5"/>
      <c r="G61" s="5"/>
      <c r="H61" s="5"/>
      <c r="I61" s="5"/>
      <c r="J61" s="5"/>
      <c r="K61" s="5"/>
      <c r="L61" s="61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</row>
    <row r="62" spans="1:60" ht="24.75" customHeight="1">
      <c r="A62" s="1"/>
      <c r="B62" s="1" t="s">
        <v>82</v>
      </c>
      <c r="C62" s="1"/>
      <c r="D62" s="1"/>
      <c r="E62" s="1"/>
      <c r="F62" s="1"/>
      <c r="G62" s="1"/>
      <c r="H62" s="1"/>
      <c r="I62" s="1"/>
      <c r="J62" s="1"/>
      <c r="K62" s="1"/>
      <c r="L62" s="2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</row>
    <row r="63" spans="1:60" ht="24.75" customHeight="1" thickBot="1">
      <c r="A63" s="1"/>
      <c r="B63" s="63" t="s">
        <v>83</v>
      </c>
      <c r="C63" s="55" t="s">
        <v>0</v>
      </c>
      <c r="D63" s="55" t="s">
        <v>1</v>
      </c>
      <c r="E63" s="55" t="s">
        <v>2</v>
      </c>
      <c r="F63" s="55" t="s">
        <v>3</v>
      </c>
      <c r="G63" s="55" t="s">
        <v>4</v>
      </c>
      <c r="H63" s="55" t="s">
        <v>5</v>
      </c>
      <c r="I63" s="55" t="s">
        <v>6</v>
      </c>
      <c r="J63" s="55" t="s">
        <v>7</v>
      </c>
      <c r="K63" s="55" t="s">
        <v>8</v>
      </c>
      <c r="L63" s="56" t="s">
        <v>9</v>
      </c>
      <c r="M63" s="55" t="s">
        <v>10</v>
      </c>
      <c r="N63" s="55" t="s">
        <v>11</v>
      </c>
      <c r="O63" s="55" t="s">
        <v>12</v>
      </c>
      <c r="P63" s="55" t="s">
        <v>13</v>
      </c>
      <c r="Q63" s="55" t="s">
        <v>14</v>
      </c>
      <c r="R63" s="55" t="s">
        <v>15</v>
      </c>
      <c r="S63" s="55" t="s">
        <v>16</v>
      </c>
      <c r="T63" s="55" t="s">
        <v>17</v>
      </c>
      <c r="U63" s="55" t="s">
        <v>18</v>
      </c>
      <c r="V63" s="55" t="s">
        <v>19</v>
      </c>
      <c r="W63" s="55" t="s">
        <v>20</v>
      </c>
      <c r="X63" s="55" t="s">
        <v>21</v>
      </c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</row>
    <row r="64" spans="1:60" ht="24.75" customHeight="1" thickTop="1">
      <c r="A64" s="1"/>
      <c r="B64" s="64" t="s">
        <v>84</v>
      </c>
      <c r="C64" s="65">
        <v>-2594</v>
      </c>
      <c r="D64" s="65">
        <f>-4095-C64</f>
        <v>-1501</v>
      </c>
      <c r="E64" s="65">
        <f>-1935-D64-C64</f>
        <v>2160</v>
      </c>
      <c r="F64" s="65">
        <f>267-E64-D64-C64</f>
        <v>2202</v>
      </c>
      <c r="G64" s="65">
        <v>-1513</v>
      </c>
      <c r="H64" s="65">
        <f>-1468-G64</f>
        <v>45</v>
      </c>
      <c r="I64" s="65">
        <f>-3034-H64-G64</f>
        <v>-1566</v>
      </c>
      <c r="J64" s="65">
        <f>220-I64-H64-G64</f>
        <v>3254</v>
      </c>
      <c r="K64" s="65">
        <v>-3754</v>
      </c>
      <c r="L64" s="66">
        <f>-2214-K64</f>
        <v>1540</v>
      </c>
      <c r="M64" s="67">
        <f>-1524-L64-K64</f>
        <v>690</v>
      </c>
      <c r="N64" s="67">
        <f>-3588-M64-L64-K64</f>
        <v>-2064</v>
      </c>
      <c r="O64" s="67">
        <v>-3266</v>
      </c>
      <c r="P64" s="67">
        <v>-1944</v>
      </c>
      <c r="Q64" s="67">
        <v>-2045</v>
      </c>
      <c r="R64" s="67">
        <f>1430-Q64-P64-O64</f>
        <v>8685</v>
      </c>
      <c r="S64" s="67">
        <v>560</v>
      </c>
      <c r="T64" s="67">
        <f>167-S64</f>
        <v>-393</v>
      </c>
      <c r="U64" s="67">
        <f>-1506-T64-S64</f>
        <v>-1673</v>
      </c>
      <c r="V64" s="67">
        <f>-1095-U64-T64-S64</f>
        <v>411</v>
      </c>
      <c r="W64" s="67">
        <v>-1841</v>
      </c>
      <c r="X64" s="67">
        <v>1531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</row>
    <row r="65" spans="1:60" ht="24.75" customHeight="1">
      <c r="A65" s="1"/>
      <c r="B65" s="68" t="s">
        <v>85</v>
      </c>
      <c r="C65" s="69">
        <v>6621</v>
      </c>
      <c r="D65" s="69">
        <f>17813-C65</f>
        <v>11192</v>
      </c>
      <c r="E65" s="69">
        <f>24661-D65-C65</f>
        <v>6848</v>
      </c>
      <c r="F65" s="69">
        <f>27500-E65-D65-C65</f>
        <v>2839</v>
      </c>
      <c r="G65" s="69">
        <v>5279</v>
      </c>
      <c r="H65" s="69">
        <f>11670-G65</f>
        <v>6391</v>
      </c>
      <c r="I65" s="69">
        <f>20381-H65-G65</f>
        <v>8711</v>
      </c>
      <c r="J65" s="69">
        <f>28712-I65-H65-G65</f>
        <v>8331</v>
      </c>
      <c r="K65" s="69">
        <v>9959</v>
      </c>
      <c r="L65" s="70">
        <f>19340-K65</f>
        <v>9381</v>
      </c>
      <c r="M65" s="71">
        <f>26474-L65-K65</f>
        <v>7134</v>
      </c>
      <c r="N65" s="71">
        <f>36561-M65-L65-K65</f>
        <v>10087</v>
      </c>
      <c r="O65" s="71">
        <v>12423</v>
      </c>
      <c r="P65" s="71">
        <f>24693-O65</f>
        <v>12270</v>
      </c>
      <c r="Q65" s="71">
        <f>34330-P65-O65</f>
        <v>9637</v>
      </c>
      <c r="R65" s="71">
        <f>43617-Q65-P65-O65</f>
        <v>9287</v>
      </c>
      <c r="S65" s="71">
        <v>7209</v>
      </c>
      <c r="T65" s="71">
        <f>14614-S65</f>
        <v>7405</v>
      </c>
      <c r="U65" s="71">
        <f>24877-T65-S65</f>
        <v>10263</v>
      </c>
      <c r="V65" s="71">
        <f>37459-U65-T65-S65</f>
        <v>12582</v>
      </c>
      <c r="W65" s="71">
        <v>11337</v>
      </c>
      <c r="X65" s="71">
        <v>8516</v>
      </c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</row>
    <row r="66" spans="1:60" ht="24.75" customHeight="1">
      <c r="A66" s="1"/>
      <c r="B66" s="18" t="s">
        <v>86</v>
      </c>
      <c r="C66" s="71">
        <v>1457</v>
      </c>
      <c r="D66" s="71">
        <f>3061-C66</f>
        <v>1604</v>
      </c>
      <c r="E66" s="71">
        <f>4653-D66-C66</f>
        <v>1592</v>
      </c>
      <c r="F66" s="71">
        <f>6548-E66-D66-C66</f>
        <v>1895</v>
      </c>
      <c r="G66" s="71">
        <v>1546</v>
      </c>
      <c r="H66" s="71">
        <f>3078-G66</f>
        <v>1532</v>
      </c>
      <c r="I66" s="71">
        <f>4726-H66-G66</f>
        <v>1648</v>
      </c>
      <c r="J66" s="71">
        <f>6921-I66-H66-G66</f>
        <v>2195</v>
      </c>
      <c r="K66" s="71">
        <v>1577</v>
      </c>
      <c r="L66" s="70">
        <f>3530-K66</f>
        <v>1953</v>
      </c>
      <c r="M66" s="71">
        <f>5309-L66-K66</f>
        <v>1779</v>
      </c>
      <c r="N66" s="71">
        <f>8468-M66-L66-K66</f>
        <v>3159</v>
      </c>
      <c r="O66" s="71">
        <v>1789</v>
      </c>
      <c r="P66" s="71">
        <f>3796-O66</f>
        <v>2007</v>
      </c>
      <c r="Q66" s="71">
        <f>5668-P66-O66</f>
        <v>1872</v>
      </c>
      <c r="R66" s="71">
        <f>8990-Q66-P66-O66</f>
        <v>3322</v>
      </c>
      <c r="S66" s="71">
        <v>1700</v>
      </c>
      <c r="T66" s="71">
        <f>3397-S66</f>
        <v>1697</v>
      </c>
      <c r="U66" s="71">
        <f>5266-T66-S66</f>
        <v>1869</v>
      </c>
      <c r="V66" s="71">
        <f>9029-U66-T66-S66</f>
        <v>3763</v>
      </c>
      <c r="W66" s="71">
        <v>1796</v>
      </c>
      <c r="X66" s="71">
        <v>1821</v>
      </c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</row>
    <row r="67" spans="1:60" ht="24.75" customHeight="1">
      <c r="A67" s="1"/>
      <c r="B67" s="22" t="s">
        <v>87</v>
      </c>
      <c r="C67" s="71">
        <v>17</v>
      </c>
      <c r="D67" s="71">
        <f>42-C67</f>
        <v>25</v>
      </c>
      <c r="E67" s="71">
        <f>76-D67-C67</f>
        <v>34</v>
      </c>
      <c r="F67" s="71">
        <f>110-E67-D67-C67</f>
        <v>34</v>
      </c>
      <c r="G67" s="71">
        <v>22</v>
      </c>
      <c r="H67" s="71">
        <f>43-G67</f>
        <v>21</v>
      </c>
      <c r="I67" s="71">
        <f>66-H67-G67</f>
        <v>23</v>
      </c>
      <c r="J67" s="71">
        <f>99-I67-H67-G67</f>
        <v>33</v>
      </c>
      <c r="K67" s="71">
        <v>38</v>
      </c>
      <c r="L67" s="70">
        <f>75-K67</f>
        <v>37</v>
      </c>
      <c r="M67" s="71">
        <f>102-L67-K67</f>
        <v>27</v>
      </c>
      <c r="N67" s="71">
        <f>135-M67-L67-K67</f>
        <v>33</v>
      </c>
      <c r="O67" s="71">
        <v>40</v>
      </c>
      <c r="P67" s="71">
        <f>87-O67</f>
        <v>47</v>
      </c>
      <c r="Q67" s="71">
        <f>138-P67-O67</f>
        <v>51</v>
      </c>
      <c r="R67" s="71">
        <f>191-Q67-P67-O67</f>
        <v>53</v>
      </c>
      <c r="S67" s="71">
        <v>32</v>
      </c>
      <c r="T67" s="71">
        <f>61-S67</f>
        <v>29</v>
      </c>
      <c r="U67" s="71">
        <f>89-T67-S67</f>
        <v>28</v>
      </c>
      <c r="V67" s="72">
        <f>121-U67-T67-S67</f>
        <v>32</v>
      </c>
      <c r="W67" s="71">
        <v>25</v>
      </c>
      <c r="X67" s="71">
        <v>31</v>
      </c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</row>
    <row r="68" spans="1:60" ht="24.75" customHeight="1">
      <c r="A68" s="1"/>
      <c r="B68" s="22" t="s">
        <v>88</v>
      </c>
      <c r="C68" s="72">
        <v>135</v>
      </c>
      <c r="D68" s="72">
        <f>194-C68</f>
        <v>59</v>
      </c>
      <c r="E68" s="72">
        <f>273-D68-C68</f>
        <v>79</v>
      </c>
      <c r="F68" s="72">
        <f>343-E68-D68-C68</f>
        <v>70</v>
      </c>
      <c r="G68" s="72">
        <v>102</v>
      </c>
      <c r="H68" s="72">
        <f>170-G68</f>
        <v>68</v>
      </c>
      <c r="I68" s="72">
        <f>236-H68-G68</f>
        <v>66</v>
      </c>
      <c r="J68" s="72">
        <f>329-I68-H68-G68</f>
        <v>93</v>
      </c>
      <c r="K68" s="72">
        <v>89</v>
      </c>
      <c r="L68" s="73">
        <f>158-K68</f>
        <v>69</v>
      </c>
      <c r="M68" s="72">
        <f>250-L68-K68</f>
        <v>92</v>
      </c>
      <c r="N68" s="72">
        <f>361-M68-L68-K68</f>
        <v>111</v>
      </c>
      <c r="O68" s="72">
        <v>98</v>
      </c>
      <c r="P68" s="72">
        <f>189-O68</f>
        <v>91</v>
      </c>
      <c r="Q68" s="72">
        <f>311-P68-O68</f>
        <v>122</v>
      </c>
      <c r="R68" s="72">
        <f>433-Q68-P68-O68</f>
        <v>122</v>
      </c>
      <c r="S68" s="72">
        <v>92</v>
      </c>
      <c r="T68" s="72">
        <f>184-S68</f>
        <v>92</v>
      </c>
      <c r="U68" s="72">
        <f>280-T68-S68</f>
        <v>96</v>
      </c>
      <c r="V68" s="72">
        <f>401-U68-T68-S68</f>
        <v>121</v>
      </c>
      <c r="W68" s="72">
        <v>94</v>
      </c>
      <c r="X68" s="72">
        <v>91</v>
      </c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</row>
    <row r="69" spans="1:60" ht="24.75" customHeight="1">
      <c r="A69" s="1"/>
      <c r="B69" s="22" t="s">
        <v>89</v>
      </c>
      <c r="C69" s="72">
        <v>1067</v>
      </c>
      <c r="D69" s="72">
        <f>2703-C69</f>
        <v>1636</v>
      </c>
      <c r="E69" s="72">
        <f>3991-D69-C69</f>
        <v>1288</v>
      </c>
      <c r="F69" s="72">
        <f>5040-E69-D69-C69</f>
        <v>1049</v>
      </c>
      <c r="G69" s="72">
        <v>1147</v>
      </c>
      <c r="H69" s="72">
        <f>2244-G69</f>
        <v>1097</v>
      </c>
      <c r="I69" s="72">
        <f>3624-H69-G69</f>
        <v>1380</v>
      </c>
      <c r="J69" s="72">
        <f>5017-I69-H69-G69</f>
        <v>1393</v>
      </c>
      <c r="K69" s="72">
        <v>1563</v>
      </c>
      <c r="L69" s="73">
        <f>2864-K69</f>
        <v>1301</v>
      </c>
      <c r="M69" s="72">
        <f>4614-L69-K69</f>
        <v>1750</v>
      </c>
      <c r="N69" s="72">
        <f>6224-M69-L69-K69</f>
        <v>1610</v>
      </c>
      <c r="O69" s="72">
        <v>2581</v>
      </c>
      <c r="P69" s="72">
        <f>4890-O69</f>
        <v>2309</v>
      </c>
      <c r="Q69" s="72">
        <f>6977-P69-O69</f>
        <v>2087</v>
      </c>
      <c r="R69" s="72">
        <f>8756-Q69-P69-O69</f>
        <v>1779</v>
      </c>
      <c r="S69" s="72">
        <v>1168</v>
      </c>
      <c r="T69" s="72">
        <f>2594-S69</f>
        <v>1426</v>
      </c>
      <c r="U69" s="72">
        <f>4617-T69-S69</f>
        <v>2023</v>
      </c>
      <c r="V69" s="72">
        <f>6546-U69-T69-S69</f>
        <v>1929</v>
      </c>
      <c r="W69" s="72">
        <v>1543</v>
      </c>
      <c r="X69" s="72">
        <v>1494</v>
      </c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</row>
    <row r="70" spans="1:60" ht="24.75" customHeight="1">
      <c r="A70" s="1"/>
      <c r="B70" s="22" t="s">
        <v>90</v>
      </c>
      <c r="C70" s="72">
        <v>206</v>
      </c>
      <c r="D70" s="72">
        <f>409-C70</f>
        <v>203</v>
      </c>
      <c r="E70" s="72">
        <f>626-D70-C70</f>
        <v>217</v>
      </c>
      <c r="F70" s="72">
        <f>822-E70-D70-C70</f>
        <v>196</v>
      </c>
      <c r="G70" s="72">
        <v>204</v>
      </c>
      <c r="H70" s="72">
        <f>387-G70</f>
        <v>183</v>
      </c>
      <c r="I70" s="72">
        <f>587-H70-G70</f>
        <v>200</v>
      </c>
      <c r="J70" s="72">
        <f>788-I70-H70-G70</f>
        <v>201</v>
      </c>
      <c r="K70" s="72">
        <v>218</v>
      </c>
      <c r="L70" s="73">
        <f>410-K70</f>
        <v>192</v>
      </c>
      <c r="M70" s="72">
        <f>615-L70-K70</f>
        <v>205</v>
      </c>
      <c r="N70" s="72">
        <f>819-M70-L70-K70</f>
        <v>204</v>
      </c>
      <c r="O70" s="72">
        <v>226</v>
      </c>
      <c r="P70" s="72">
        <f>425-O70</f>
        <v>199</v>
      </c>
      <c r="Q70" s="72">
        <f>629-P70-O70</f>
        <v>204</v>
      </c>
      <c r="R70" s="72">
        <f>822-Q70-P70-O70</f>
        <v>193</v>
      </c>
      <c r="S70" s="72">
        <v>197</v>
      </c>
      <c r="T70" s="72">
        <f>382-S70</f>
        <v>185</v>
      </c>
      <c r="U70" s="72">
        <f>585-T70-S70</f>
        <v>203</v>
      </c>
      <c r="V70" s="72">
        <f>786-U70-T70-S70</f>
        <v>201</v>
      </c>
      <c r="W70" s="72">
        <v>209</v>
      </c>
      <c r="X70" s="72">
        <v>191</v>
      </c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</row>
    <row r="71" spans="1:60" ht="24.75" customHeight="1">
      <c r="A71" s="1"/>
      <c r="B71" s="22" t="s">
        <v>91</v>
      </c>
      <c r="C71" s="72">
        <f>616+70</f>
        <v>686</v>
      </c>
      <c r="D71" s="72">
        <f>1237-C71+142</f>
        <v>693</v>
      </c>
      <c r="E71" s="72">
        <f>1865-D71-C71+217</f>
        <v>703</v>
      </c>
      <c r="F71" s="72">
        <f>2417-E71-D71-C71+292</f>
        <v>627</v>
      </c>
      <c r="G71" s="72">
        <f>598+74</f>
        <v>672</v>
      </c>
      <c r="H71" s="72">
        <f>1198-G71+143</f>
        <v>669</v>
      </c>
      <c r="I71" s="72">
        <f>1708-H71-G71+208</f>
        <v>575</v>
      </c>
      <c r="J71" s="72">
        <f>2400-I71-H71-G71+274</f>
        <v>758</v>
      </c>
      <c r="K71" s="72">
        <f>604+58</f>
        <v>662</v>
      </c>
      <c r="L71" s="73">
        <f>1213+114-K71</f>
        <v>665</v>
      </c>
      <c r="M71" s="72">
        <f>1822+172-K71-L71</f>
        <v>667</v>
      </c>
      <c r="N71" s="72">
        <f>2240+230-K71-L71-M71</f>
        <v>476</v>
      </c>
      <c r="O71" s="72">
        <f>614+58</f>
        <v>672</v>
      </c>
      <c r="P71" s="72">
        <f>1266+116-O71</f>
        <v>710</v>
      </c>
      <c r="Q71" s="72">
        <f>1841+174-O71-P71</f>
        <v>633</v>
      </c>
      <c r="R71" s="72">
        <f>2457+233-O71-P71-Q71</f>
        <v>675</v>
      </c>
      <c r="S71" s="72">
        <f>625+59</f>
        <v>684</v>
      </c>
      <c r="T71" s="72">
        <f>1269+126-S71</f>
        <v>711</v>
      </c>
      <c r="U71" s="72">
        <f>1910+160-T71-S71</f>
        <v>675</v>
      </c>
      <c r="V71" s="72">
        <f>2546+181-U71-T71-S71</f>
        <v>657</v>
      </c>
      <c r="W71" s="72">
        <f>633+20</f>
        <v>653</v>
      </c>
      <c r="X71" s="72">
        <f>1262+160-W71</f>
        <v>769</v>
      </c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</row>
    <row r="72" spans="1:60" ht="24.75" customHeight="1">
      <c r="A72" s="1"/>
      <c r="B72" s="41" t="s">
        <v>92</v>
      </c>
      <c r="C72" s="74">
        <f t="shared" ref="C72:X72" si="56">SUM(C64:C71)</f>
        <v>7595</v>
      </c>
      <c r="D72" s="74">
        <f t="shared" si="56"/>
        <v>13911</v>
      </c>
      <c r="E72" s="74">
        <f t="shared" si="56"/>
        <v>12921</v>
      </c>
      <c r="F72" s="74">
        <f t="shared" si="56"/>
        <v>8912</v>
      </c>
      <c r="G72" s="74">
        <f t="shared" si="56"/>
        <v>7459</v>
      </c>
      <c r="H72" s="74">
        <f t="shared" si="56"/>
        <v>10006</v>
      </c>
      <c r="I72" s="74">
        <f t="shared" si="56"/>
        <v>11037</v>
      </c>
      <c r="J72" s="74">
        <f t="shared" si="56"/>
        <v>16258</v>
      </c>
      <c r="K72" s="74">
        <f t="shared" si="56"/>
        <v>10352</v>
      </c>
      <c r="L72" s="74">
        <f t="shared" si="56"/>
        <v>15138</v>
      </c>
      <c r="M72" s="74">
        <f t="shared" si="56"/>
        <v>12344</v>
      </c>
      <c r="N72" s="74">
        <f t="shared" si="56"/>
        <v>13616</v>
      </c>
      <c r="O72" s="74">
        <f t="shared" si="56"/>
        <v>14563</v>
      </c>
      <c r="P72" s="74">
        <f t="shared" si="56"/>
        <v>15689</v>
      </c>
      <c r="Q72" s="74">
        <f t="shared" si="56"/>
        <v>12561</v>
      </c>
      <c r="R72" s="74">
        <f t="shared" si="56"/>
        <v>24116</v>
      </c>
      <c r="S72" s="74">
        <f t="shared" si="56"/>
        <v>11642</v>
      </c>
      <c r="T72" s="74">
        <f t="shared" si="56"/>
        <v>11152</v>
      </c>
      <c r="U72" s="74">
        <f t="shared" si="56"/>
        <v>13484</v>
      </c>
      <c r="V72" s="74">
        <f t="shared" si="56"/>
        <v>19696</v>
      </c>
      <c r="W72" s="74">
        <f t="shared" si="56"/>
        <v>13816</v>
      </c>
      <c r="X72" s="74">
        <f t="shared" si="56"/>
        <v>14444</v>
      </c>
      <c r="Y72" s="1"/>
      <c r="Z72" s="2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</row>
    <row r="73" spans="1:60" ht="24.75" customHeight="1">
      <c r="A73" s="1"/>
      <c r="B73" s="11" t="s">
        <v>93</v>
      </c>
      <c r="C73" s="13">
        <f>C65/C72</f>
        <v>0.87175773535220535</v>
      </c>
      <c r="D73" s="13">
        <f t="shared" ref="D73:X73" si="57">D65/D72</f>
        <v>0.80454316727769393</v>
      </c>
      <c r="E73" s="13">
        <f t="shared" si="57"/>
        <v>0.52998993885922141</v>
      </c>
      <c r="F73" s="13">
        <f t="shared" si="57"/>
        <v>0.31855924596050267</v>
      </c>
      <c r="G73" s="13">
        <f t="shared" si="57"/>
        <v>0.7077356213969701</v>
      </c>
      <c r="H73" s="13">
        <f t="shared" si="57"/>
        <v>0.63871676993803717</v>
      </c>
      <c r="I73" s="13">
        <f t="shared" si="57"/>
        <v>0.78925432635679982</v>
      </c>
      <c r="J73" s="13">
        <f t="shared" si="57"/>
        <v>0.51242465247877966</v>
      </c>
      <c r="K73" s="13">
        <f t="shared" si="57"/>
        <v>0.96203632148377127</v>
      </c>
      <c r="L73" s="13">
        <f t="shared" si="57"/>
        <v>0.61969877130400319</v>
      </c>
      <c r="M73" s="13">
        <f t="shared" si="57"/>
        <v>0.57793259883344139</v>
      </c>
      <c r="N73" s="13">
        <f t="shared" si="57"/>
        <v>0.7408196239717979</v>
      </c>
      <c r="O73" s="13">
        <f t="shared" si="57"/>
        <v>0.85305225571654197</v>
      </c>
      <c r="P73" s="13">
        <f t="shared" si="57"/>
        <v>0.78207661418828478</v>
      </c>
      <c r="Q73" s="13">
        <f t="shared" si="57"/>
        <v>0.7672159859883767</v>
      </c>
      <c r="R73" s="13">
        <f t="shared" si="57"/>
        <v>0.38509703101675236</v>
      </c>
      <c r="S73" s="13">
        <f t="shared" si="57"/>
        <v>0.61922350111664659</v>
      </c>
      <c r="T73" s="13">
        <f t="shared" si="57"/>
        <v>0.66400645624103305</v>
      </c>
      <c r="U73" s="13">
        <f t="shared" si="57"/>
        <v>0.76112429546128746</v>
      </c>
      <c r="V73" s="13">
        <f t="shared" si="57"/>
        <v>0.63880991064175463</v>
      </c>
      <c r="W73" s="13">
        <f t="shared" si="57"/>
        <v>0.82057035321366534</v>
      </c>
      <c r="X73" s="13">
        <f t="shared" si="57"/>
        <v>0.58958737191913602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</row>
    <row r="74" spans="1:60" ht="24.75" customHeight="1">
      <c r="A74" s="1"/>
      <c r="B74" s="1"/>
      <c r="C74" s="5"/>
      <c r="D74" s="5"/>
      <c r="E74" s="5"/>
      <c r="F74" s="5"/>
      <c r="G74" s="5"/>
      <c r="H74" s="5"/>
      <c r="I74" s="5"/>
      <c r="J74" s="5"/>
      <c r="K74" s="5"/>
      <c r="L74" s="61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</row>
    <row r="75" spans="1:60" ht="24.75" customHeight="1">
      <c r="A75" s="1"/>
      <c r="B75" s="1" t="s">
        <v>48</v>
      </c>
      <c r="C75" s="1"/>
      <c r="D75" s="1"/>
      <c r="E75" s="1"/>
      <c r="F75" s="1"/>
      <c r="G75" s="1"/>
      <c r="H75" s="1"/>
      <c r="I75" s="1"/>
      <c r="J75" s="1"/>
      <c r="K75" s="1"/>
      <c r="L75" s="2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</row>
    <row r="76" spans="1:60" ht="24.75" customHeight="1" thickBot="1">
      <c r="A76" s="1"/>
      <c r="B76" s="14" t="s">
        <v>83</v>
      </c>
      <c r="C76" s="15" t="s">
        <v>0</v>
      </c>
      <c r="D76" s="15" t="s">
        <v>1</v>
      </c>
      <c r="E76" s="15" t="s">
        <v>2</v>
      </c>
      <c r="F76" s="15" t="s">
        <v>3</v>
      </c>
      <c r="G76" s="15" t="s">
        <v>4</v>
      </c>
      <c r="H76" s="15" t="s">
        <v>5</v>
      </c>
      <c r="I76" s="15" t="s">
        <v>6</v>
      </c>
      <c r="J76" s="15" t="s">
        <v>7</v>
      </c>
      <c r="K76" s="15" t="s">
        <v>8</v>
      </c>
      <c r="L76" s="56" t="s">
        <v>9</v>
      </c>
      <c r="M76" s="55" t="s">
        <v>10</v>
      </c>
      <c r="N76" s="55" t="s">
        <v>11</v>
      </c>
      <c r="O76" s="15" t="s">
        <v>12</v>
      </c>
      <c r="P76" s="15" t="s">
        <v>13</v>
      </c>
      <c r="Q76" s="15" t="s">
        <v>14</v>
      </c>
      <c r="R76" s="15" t="s">
        <v>15</v>
      </c>
      <c r="S76" s="15" t="s">
        <v>16</v>
      </c>
      <c r="T76" s="15" t="s">
        <v>17</v>
      </c>
      <c r="U76" s="15" t="s">
        <v>18</v>
      </c>
      <c r="V76" s="15" t="s">
        <v>19</v>
      </c>
      <c r="W76" s="15" t="s">
        <v>20</v>
      </c>
      <c r="X76" s="15" t="s">
        <v>21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</row>
    <row r="77" spans="1:60" ht="24.75" customHeight="1" thickTop="1">
      <c r="A77" s="1"/>
      <c r="B77" s="20" t="s">
        <v>94</v>
      </c>
      <c r="C77" s="20">
        <v>1613</v>
      </c>
      <c r="D77" s="20">
        <f>3344-C77</f>
        <v>1731</v>
      </c>
      <c r="E77" s="20">
        <f>5053-D77-C77</f>
        <v>1709</v>
      </c>
      <c r="F77" s="20">
        <f>7120-E77-D77-C77</f>
        <v>2067</v>
      </c>
      <c r="G77" s="20">
        <v>1662</v>
      </c>
      <c r="H77" s="20">
        <f>3313-G77</f>
        <v>1651</v>
      </c>
      <c r="I77" s="20">
        <f>5075-H77-G77</f>
        <v>1762</v>
      </c>
      <c r="J77" s="20">
        <f>7470-I77-H77-G77</f>
        <v>2395</v>
      </c>
      <c r="K77" s="20">
        <v>1676</v>
      </c>
      <c r="L77" s="57">
        <f>3598-K77</f>
        <v>1922</v>
      </c>
      <c r="M77" s="18">
        <f>5504-L77-K77</f>
        <v>1906</v>
      </c>
      <c r="N77" s="18">
        <f>8697-M77-L77-K77</f>
        <v>3193</v>
      </c>
      <c r="O77" s="20">
        <v>1779</v>
      </c>
      <c r="P77" s="20">
        <f>3598-O77</f>
        <v>1819</v>
      </c>
      <c r="Q77" s="20">
        <f>5609-P77-O77</f>
        <v>2011</v>
      </c>
      <c r="R77" s="20">
        <f>8871-Q77-P77-O77</f>
        <v>3262</v>
      </c>
      <c r="S77" s="20">
        <v>1767</v>
      </c>
      <c r="T77" s="20">
        <v>1735</v>
      </c>
      <c r="U77" s="20">
        <f>5355-T77-S77</f>
        <v>1853</v>
      </c>
      <c r="V77" s="20">
        <f>9348-U77-T77-S77</f>
        <v>3993</v>
      </c>
      <c r="W77" s="20">
        <v>1856</v>
      </c>
      <c r="X77" s="20">
        <v>1961</v>
      </c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</row>
    <row r="78" spans="1:60" ht="24.75" customHeight="1">
      <c r="A78" s="1"/>
      <c r="B78" s="22" t="s">
        <v>95</v>
      </c>
      <c r="C78" s="22">
        <v>151</v>
      </c>
      <c r="D78" s="22">
        <f>304-C78</f>
        <v>153</v>
      </c>
      <c r="E78" s="22">
        <f>452-D78-C78</f>
        <v>148</v>
      </c>
      <c r="F78" s="22">
        <f>602-E78-D78-C78</f>
        <v>150</v>
      </c>
      <c r="G78" s="22">
        <v>156</v>
      </c>
      <c r="H78" s="22">
        <f>319-G78</f>
        <v>163</v>
      </c>
      <c r="I78" s="22">
        <f>471-H78-G78</f>
        <v>152</v>
      </c>
      <c r="J78" s="22">
        <f>609-I78-H78-G78</f>
        <v>138</v>
      </c>
      <c r="K78" s="22">
        <v>153</v>
      </c>
      <c r="L78" s="48">
        <f>113-K78</f>
        <v>-40</v>
      </c>
      <c r="M78" s="22">
        <f>174-L78-K78</f>
        <v>61</v>
      </c>
      <c r="N78" s="22">
        <f>232-M78-L78-K78</f>
        <v>58</v>
      </c>
      <c r="O78" s="22">
        <v>57</v>
      </c>
      <c r="P78" s="22">
        <f>113-O78</f>
        <v>56</v>
      </c>
      <c r="Q78" s="22">
        <f>171-P78-O78</f>
        <v>58</v>
      </c>
      <c r="R78" s="22">
        <f>227-Q78-P78-O78</f>
        <v>56</v>
      </c>
      <c r="S78" s="22">
        <v>57</v>
      </c>
      <c r="T78" s="22">
        <v>58</v>
      </c>
      <c r="U78" s="22">
        <f>177-T78-S78</f>
        <v>62</v>
      </c>
      <c r="V78" s="33">
        <f>236-U78-T78-S78</f>
        <v>59</v>
      </c>
      <c r="W78" s="22">
        <v>60</v>
      </c>
      <c r="X78" s="22">
        <v>56</v>
      </c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</row>
    <row r="79" spans="1:60" ht="24.75" customHeight="1">
      <c r="A79" s="1"/>
      <c r="B79" s="22" t="s">
        <v>87</v>
      </c>
      <c r="C79" s="22">
        <v>82</v>
      </c>
      <c r="D79" s="22">
        <f>197-C79</f>
        <v>115</v>
      </c>
      <c r="E79" s="22">
        <f>327-D79-C79</f>
        <v>130</v>
      </c>
      <c r="F79" s="22">
        <f>433-E79-D79-C79</f>
        <v>106</v>
      </c>
      <c r="G79" s="22">
        <v>70</v>
      </c>
      <c r="H79" s="22">
        <f>199-G79</f>
        <v>129</v>
      </c>
      <c r="I79" s="22">
        <f>318-H79-G79</f>
        <v>119</v>
      </c>
      <c r="J79" s="22">
        <f>502-I79-H79-G79</f>
        <v>184</v>
      </c>
      <c r="K79" s="22">
        <v>155</v>
      </c>
      <c r="L79" s="58">
        <f>299-K79</f>
        <v>144</v>
      </c>
      <c r="M79" s="22">
        <f>499-L79-K79</f>
        <v>200</v>
      </c>
      <c r="N79" s="22">
        <f>640-M79-L79-K79</f>
        <v>141</v>
      </c>
      <c r="O79" s="22">
        <v>131</v>
      </c>
      <c r="P79" s="22">
        <f>299-O79</f>
        <v>168</v>
      </c>
      <c r="Q79" s="22">
        <f>510-P79-O79</f>
        <v>211</v>
      </c>
      <c r="R79" s="22">
        <f>692-Q79-P79-O79</f>
        <v>182</v>
      </c>
      <c r="S79" s="22">
        <v>113</v>
      </c>
      <c r="T79" s="22">
        <v>112</v>
      </c>
      <c r="U79" s="22">
        <f>438-T79-S79</f>
        <v>213</v>
      </c>
      <c r="V79" s="33">
        <f>625-U79-T79-S79</f>
        <v>187</v>
      </c>
      <c r="W79" s="22">
        <v>156</v>
      </c>
      <c r="X79" s="22">
        <v>117</v>
      </c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</row>
    <row r="80" spans="1:60" ht="24.75" customHeight="1">
      <c r="A80" s="1"/>
      <c r="B80" s="22" t="s">
        <v>88</v>
      </c>
      <c r="C80" s="22">
        <v>108</v>
      </c>
      <c r="D80" s="22">
        <f>228-C80</f>
        <v>120</v>
      </c>
      <c r="E80" s="22">
        <f>367-D80-C80</f>
        <v>139</v>
      </c>
      <c r="F80" s="22">
        <f>582-E80-D80-C80</f>
        <v>215</v>
      </c>
      <c r="G80" s="22">
        <v>78</v>
      </c>
      <c r="H80" s="22">
        <f>157-G80</f>
        <v>79</v>
      </c>
      <c r="I80" s="22">
        <f>337-H80-G80</f>
        <v>180</v>
      </c>
      <c r="J80" s="22">
        <f>405-I80-H80-G80</f>
        <v>68</v>
      </c>
      <c r="K80" s="22">
        <v>70</v>
      </c>
      <c r="L80" s="58">
        <f>232-K80</f>
        <v>162</v>
      </c>
      <c r="M80" s="33">
        <f>180-L80-K80</f>
        <v>-52</v>
      </c>
      <c r="N80" s="22">
        <f>257-M80-L80-K80</f>
        <v>77</v>
      </c>
      <c r="O80" s="22">
        <v>136</v>
      </c>
      <c r="P80" s="22">
        <f>232-O80</f>
        <v>96</v>
      </c>
      <c r="Q80" s="22">
        <f>336-P80-O80</f>
        <v>104</v>
      </c>
      <c r="R80" s="22">
        <f>420-Q80-P80-O80</f>
        <v>84</v>
      </c>
      <c r="S80" s="22">
        <v>77</v>
      </c>
      <c r="T80" s="22">
        <v>72</v>
      </c>
      <c r="U80" s="22">
        <f>330-T80-S80</f>
        <v>181</v>
      </c>
      <c r="V80" s="33">
        <f>464-U80-T80-S80</f>
        <v>134</v>
      </c>
      <c r="W80" s="22">
        <v>140</v>
      </c>
      <c r="X80" s="22">
        <v>144</v>
      </c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</row>
    <row r="81" spans="1:60" ht="24.75" customHeight="1">
      <c r="A81" s="1"/>
      <c r="B81" s="41" t="s">
        <v>96</v>
      </c>
      <c r="C81" s="41">
        <f>SUM(C77:C80)</f>
        <v>1954</v>
      </c>
      <c r="D81" s="41">
        <f t="shared" ref="D81:X81" si="58">SUM(D77:D80)</f>
        <v>2119</v>
      </c>
      <c r="E81" s="41">
        <f t="shared" si="58"/>
        <v>2126</v>
      </c>
      <c r="F81" s="41">
        <f t="shared" si="58"/>
        <v>2538</v>
      </c>
      <c r="G81" s="41">
        <f t="shared" si="58"/>
        <v>1966</v>
      </c>
      <c r="H81" s="41">
        <f t="shared" si="58"/>
        <v>2022</v>
      </c>
      <c r="I81" s="41">
        <f t="shared" si="58"/>
        <v>2213</v>
      </c>
      <c r="J81" s="41">
        <f t="shared" si="58"/>
        <v>2785</v>
      </c>
      <c r="K81" s="41">
        <f t="shared" si="58"/>
        <v>2054</v>
      </c>
      <c r="L81" s="75">
        <f t="shared" si="58"/>
        <v>2188</v>
      </c>
      <c r="M81" s="41">
        <f t="shared" si="58"/>
        <v>2115</v>
      </c>
      <c r="N81" s="41">
        <f t="shared" si="58"/>
        <v>3469</v>
      </c>
      <c r="O81" s="41">
        <f t="shared" si="58"/>
        <v>2103</v>
      </c>
      <c r="P81" s="41">
        <f t="shared" si="58"/>
        <v>2139</v>
      </c>
      <c r="Q81" s="41">
        <f t="shared" si="58"/>
        <v>2384</v>
      </c>
      <c r="R81" s="41">
        <f t="shared" si="58"/>
        <v>3584</v>
      </c>
      <c r="S81" s="41">
        <f t="shared" si="58"/>
        <v>2014</v>
      </c>
      <c r="T81" s="41">
        <f t="shared" si="58"/>
        <v>1977</v>
      </c>
      <c r="U81" s="41">
        <f t="shared" si="58"/>
        <v>2309</v>
      </c>
      <c r="V81" s="41">
        <f t="shared" si="58"/>
        <v>4373</v>
      </c>
      <c r="W81" s="41">
        <f t="shared" si="58"/>
        <v>2212</v>
      </c>
      <c r="X81" s="41">
        <f t="shared" si="58"/>
        <v>2278</v>
      </c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</row>
    <row r="82" spans="1:60" ht="24.75" customHeight="1">
      <c r="A82" s="1"/>
      <c r="B82" s="11" t="s">
        <v>97</v>
      </c>
      <c r="C82" s="76">
        <f>C12-C81</f>
        <v>307</v>
      </c>
      <c r="D82" s="76">
        <f t="shared" ref="D82:X82" si="59">D12-D81</f>
        <v>888</v>
      </c>
      <c r="E82" s="76">
        <f t="shared" si="59"/>
        <v>523</v>
      </c>
      <c r="F82" s="76">
        <f t="shared" si="59"/>
        <v>470</v>
      </c>
      <c r="G82" s="76">
        <f t="shared" si="59"/>
        <v>266</v>
      </c>
      <c r="H82" s="76">
        <f t="shared" si="59"/>
        <v>473</v>
      </c>
      <c r="I82" s="76">
        <f t="shared" si="59"/>
        <v>380</v>
      </c>
      <c r="J82" s="76">
        <f t="shared" si="59"/>
        <v>475</v>
      </c>
      <c r="K82" s="76">
        <f t="shared" si="59"/>
        <v>361</v>
      </c>
      <c r="L82" s="76">
        <f t="shared" si="59"/>
        <v>571</v>
      </c>
      <c r="M82" s="76">
        <f t="shared" si="59"/>
        <v>605</v>
      </c>
      <c r="N82" s="76">
        <f t="shared" si="59"/>
        <v>583</v>
      </c>
      <c r="O82" s="76">
        <f t="shared" si="59"/>
        <v>555</v>
      </c>
      <c r="P82" s="76">
        <f t="shared" si="59"/>
        <v>519</v>
      </c>
      <c r="Q82" s="76">
        <f t="shared" si="59"/>
        <v>427</v>
      </c>
      <c r="R82" s="76">
        <f t="shared" si="59"/>
        <v>513</v>
      </c>
      <c r="S82" s="76">
        <f t="shared" si="59"/>
        <v>455</v>
      </c>
      <c r="T82" s="76">
        <f t="shared" si="59"/>
        <v>528</v>
      </c>
      <c r="U82" s="76">
        <f t="shared" si="59"/>
        <v>496</v>
      </c>
      <c r="V82" s="76">
        <f t="shared" si="59"/>
        <v>588</v>
      </c>
      <c r="W82" s="76">
        <f t="shared" si="59"/>
        <v>498</v>
      </c>
      <c r="X82" s="76">
        <f t="shared" si="59"/>
        <v>554</v>
      </c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</row>
    <row r="83" spans="1:60" ht="24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2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</row>
    <row r="84" spans="1:60" ht="24.75" customHeight="1">
      <c r="A84" s="1"/>
      <c r="B84" s="1" t="s">
        <v>98</v>
      </c>
      <c r="C84" s="1"/>
      <c r="D84" s="1"/>
      <c r="E84" s="1"/>
      <c r="F84" s="1"/>
      <c r="G84" s="1"/>
      <c r="H84" s="1"/>
      <c r="I84" s="1"/>
      <c r="J84" s="1"/>
      <c r="K84" s="1"/>
      <c r="L84" s="2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</row>
    <row r="85" spans="1:60" ht="24.75" customHeight="1" thickBot="1">
      <c r="A85" s="1"/>
      <c r="B85" s="63" t="s">
        <v>83</v>
      </c>
      <c r="C85" s="55" t="s">
        <v>0</v>
      </c>
      <c r="D85" s="55" t="s">
        <v>1</v>
      </c>
      <c r="E85" s="55" t="s">
        <v>2</v>
      </c>
      <c r="F85" s="55" t="s">
        <v>3</v>
      </c>
      <c r="G85" s="55" t="s">
        <v>4</v>
      </c>
      <c r="H85" s="55" t="s">
        <v>5</v>
      </c>
      <c r="I85" s="55" t="s">
        <v>6</v>
      </c>
      <c r="J85" s="55" t="s">
        <v>7</v>
      </c>
      <c r="K85" s="55" t="s">
        <v>8</v>
      </c>
      <c r="L85" s="56" t="s">
        <v>9</v>
      </c>
      <c r="M85" s="55" t="s">
        <v>10</v>
      </c>
      <c r="N85" s="55" t="s">
        <v>11</v>
      </c>
      <c r="O85" s="55" t="s">
        <v>12</v>
      </c>
      <c r="P85" s="55" t="s">
        <v>13</v>
      </c>
      <c r="Q85" s="55" t="s">
        <v>14</v>
      </c>
      <c r="R85" s="55" t="s">
        <v>15</v>
      </c>
      <c r="S85" s="55" t="s">
        <v>16</v>
      </c>
      <c r="T85" s="55" t="s">
        <v>17</v>
      </c>
      <c r="U85" s="55" t="s">
        <v>18</v>
      </c>
      <c r="V85" s="55" t="s">
        <v>19</v>
      </c>
      <c r="W85" s="55" t="s">
        <v>20</v>
      </c>
      <c r="X85" s="55" t="s">
        <v>21</v>
      </c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</row>
    <row r="86" spans="1:60" ht="24.75" customHeight="1" thickTop="1">
      <c r="A86" s="1"/>
      <c r="B86" s="77" t="s">
        <v>99</v>
      </c>
      <c r="C86" s="77">
        <v>54</v>
      </c>
      <c r="D86" s="77">
        <v>52</v>
      </c>
      <c r="E86" s="77">
        <v>53</v>
      </c>
      <c r="F86" s="77">
        <v>52</v>
      </c>
      <c r="G86" s="77">
        <v>53</v>
      </c>
      <c r="H86" s="77">
        <v>51</v>
      </c>
      <c r="I86" s="77">
        <v>51</v>
      </c>
      <c r="J86" s="77">
        <v>54</v>
      </c>
      <c r="K86" s="77">
        <v>56</v>
      </c>
      <c r="L86" s="78">
        <v>62</v>
      </c>
      <c r="M86" s="79">
        <v>65</v>
      </c>
      <c r="N86" s="79">
        <v>66</v>
      </c>
      <c r="O86" s="79">
        <v>66</v>
      </c>
      <c r="P86" s="79">
        <v>65</v>
      </c>
      <c r="Q86" s="79">
        <v>64</v>
      </c>
      <c r="R86" s="79">
        <v>65</v>
      </c>
      <c r="S86" s="79">
        <v>65</v>
      </c>
      <c r="T86" s="79">
        <v>64</v>
      </c>
      <c r="U86" s="79">
        <v>65</v>
      </c>
      <c r="V86" s="79">
        <v>69</v>
      </c>
      <c r="W86" s="79">
        <f>V86</f>
        <v>69</v>
      </c>
      <c r="X86" s="79">
        <v>67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</row>
    <row r="87" spans="1:60" ht="24.75" customHeight="1">
      <c r="A87" s="1"/>
      <c r="B87" s="11" t="s">
        <v>100</v>
      </c>
      <c r="C87" s="11">
        <v>24</v>
      </c>
      <c r="D87" s="11">
        <v>23</v>
      </c>
      <c r="E87" s="11">
        <v>24</v>
      </c>
      <c r="F87" s="11">
        <v>25</v>
      </c>
      <c r="G87" s="11">
        <v>26</v>
      </c>
      <c r="H87" s="11">
        <v>27</v>
      </c>
      <c r="I87" s="11">
        <v>25</v>
      </c>
      <c r="J87" s="11">
        <v>26</v>
      </c>
      <c r="K87" s="11">
        <v>29</v>
      </c>
      <c r="L87" s="80">
        <v>27</v>
      </c>
      <c r="M87" s="76">
        <v>28</v>
      </c>
      <c r="N87" s="76">
        <v>28</v>
      </c>
      <c r="O87" s="76">
        <v>26</v>
      </c>
      <c r="P87" s="76">
        <v>25</v>
      </c>
      <c r="Q87" s="76">
        <v>26</v>
      </c>
      <c r="R87" s="76">
        <v>28</v>
      </c>
      <c r="S87" s="76">
        <v>27</v>
      </c>
      <c r="T87" s="76">
        <v>28</v>
      </c>
      <c r="U87" s="76">
        <v>28</v>
      </c>
      <c r="V87" s="76">
        <v>28</v>
      </c>
      <c r="W87" s="76">
        <f>V87</f>
        <v>28</v>
      </c>
      <c r="X87" s="76">
        <v>27</v>
      </c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</row>
    <row r="88" spans="1:60" ht="24.75" customHeight="1">
      <c r="A88" s="1"/>
      <c r="B88" s="11" t="s">
        <v>101</v>
      </c>
      <c r="C88" s="11">
        <v>72</v>
      </c>
      <c r="D88" s="11">
        <v>69</v>
      </c>
      <c r="E88" s="11">
        <v>70</v>
      </c>
      <c r="F88" s="11">
        <v>68</v>
      </c>
      <c r="G88" s="11">
        <v>69</v>
      </c>
      <c r="H88" s="11">
        <v>70</v>
      </c>
      <c r="I88" s="11">
        <v>70</v>
      </c>
      <c r="J88" s="11">
        <v>78</v>
      </c>
      <c r="K88" s="11">
        <v>79</v>
      </c>
      <c r="L88" s="80">
        <v>81</v>
      </c>
      <c r="M88" s="76">
        <v>83</v>
      </c>
      <c r="N88" s="76">
        <v>83</v>
      </c>
      <c r="O88" s="76">
        <v>83</v>
      </c>
      <c r="P88" s="76">
        <v>82</v>
      </c>
      <c r="Q88" s="76">
        <v>87</v>
      </c>
      <c r="R88" s="76">
        <v>84</v>
      </c>
      <c r="S88" s="76">
        <v>84</v>
      </c>
      <c r="T88" s="76">
        <v>82</v>
      </c>
      <c r="U88" s="76">
        <v>83</v>
      </c>
      <c r="V88" s="76">
        <v>81</v>
      </c>
      <c r="W88" s="76">
        <f t="shared" ref="W88" si="60">V88</f>
        <v>81</v>
      </c>
      <c r="X88" s="76">
        <v>83</v>
      </c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</row>
    <row r="89" spans="1:60" ht="24.75" customHeight="1">
      <c r="A89" s="1"/>
      <c r="B89" s="11" t="s">
        <v>102</v>
      </c>
      <c r="C89" s="11">
        <v>51</v>
      </c>
      <c r="D89" s="11">
        <v>53</v>
      </c>
      <c r="E89" s="11">
        <v>56</v>
      </c>
      <c r="F89" s="11">
        <v>56</v>
      </c>
      <c r="G89" s="11">
        <v>53</v>
      </c>
      <c r="H89" s="11">
        <v>59</v>
      </c>
      <c r="I89" s="11">
        <v>50</v>
      </c>
      <c r="J89" s="11">
        <v>51</v>
      </c>
      <c r="K89" s="11">
        <v>54</v>
      </c>
      <c r="L89" s="80">
        <v>59</v>
      </c>
      <c r="M89" s="76">
        <v>59</v>
      </c>
      <c r="N89" s="76">
        <v>59</v>
      </c>
      <c r="O89" s="76">
        <v>57</v>
      </c>
      <c r="P89" s="76">
        <v>58</v>
      </c>
      <c r="Q89" s="76">
        <v>57</v>
      </c>
      <c r="R89" s="76">
        <v>57</v>
      </c>
      <c r="S89" s="76">
        <v>55</v>
      </c>
      <c r="T89" s="76">
        <v>54</v>
      </c>
      <c r="U89" s="76">
        <v>51</v>
      </c>
      <c r="V89" s="76">
        <v>54</v>
      </c>
      <c r="W89" s="81">
        <v>51</v>
      </c>
      <c r="X89" s="76">
        <v>51</v>
      </c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</row>
    <row r="90" spans="1:60" ht="24.75" customHeight="1">
      <c r="A90" s="1"/>
      <c r="B90" s="11" t="s">
        <v>62</v>
      </c>
      <c r="C90" s="11">
        <f>SUM(C86:C89)</f>
        <v>201</v>
      </c>
      <c r="D90" s="11">
        <f t="shared" ref="D90:W90" si="61">SUM(D86:D89)</f>
        <v>197</v>
      </c>
      <c r="E90" s="11">
        <f t="shared" si="61"/>
        <v>203</v>
      </c>
      <c r="F90" s="11">
        <f t="shared" si="61"/>
        <v>201</v>
      </c>
      <c r="G90" s="11">
        <f t="shared" si="61"/>
        <v>201</v>
      </c>
      <c r="H90" s="11">
        <f t="shared" si="61"/>
        <v>207</v>
      </c>
      <c r="I90" s="11">
        <f t="shared" si="61"/>
        <v>196</v>
      </c>
      <c r="J90" s="11">
        <f t="shared" si="61"/>
        <v>209</v>
      </c>
      <c r="K90" s="11">
        <f t="shared" si="61"/>
        <v>218</v>
      </c>
      <c r="L90" s="11">
        <f t="shared" si="61"/>
        <v>229</v>
      </c>
      <c r="M90" s="11">
        <f t="shared" si="61"/>
        <v>235</v>
      </c>
      <c r="N90" s="11">
        <f t="shared" si="61"/>
        <v>236</v>
      </c>
      <c r="O90" s="11">
        <f t="shared" si="61"/>
        <v>232</v>
      </c>
      <c r="P90" s="11">
        <f t="shared" si="61"/>
        <v>230</v>
      </c>
      <c r="Q90" s="11">
        <f t="shared" si="61"/>
        <v>234</v>
      </c>
      <c r="R90" s="11">
        <f t="shared" si="61"/>
        <v>234</v>
      </c>
      <c r="S90" s="11">
        <f t="shared" si="61"/>
        <v>231</v>
      </c>
      <c r="T90" s="11">
        <f t="shared" si="61"/>
        <v>228</v>
      </c>
      <c r="U90" s="11">
        <f t="shared" si="61"/>
        <v>227</v>
      </c>
      <c r="V90" s="11">
        <f t="shared" si="61"/>
        <v>232</v>
      </c>
      <c r="W90" s="11">
        <f t="shared" si="61"/>
        <v>229</v>
      </c>
      <c r="X90" s="11">
        <f>SUM(X86:X89)</f>
        <v>228</v>
      </c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</row>
    <row r="91" spans="1:60" ht="24.75" customHeight="1">
      <c r="A91" s="1"/>
      <c r="B91" s="1"/>
      <c r="C91" s="5"/>
      <c r="D91" s="5"/>
      <c r="E91" s="5"/>
      <c r="F91" s="5"/>
      <c r="G91" s="5"/>
      <c r="H91" s="5"/>
      <c r="I91" s="5"/>
      <c r="J91" s="5"/>
      <c r="K91" s="5"/>
      <c r="L91" s="61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</row>
    <row r="92" spans="1:60" ht="24.75" customHeight="1">
      <c r="A92" s="1"/>
      <c r="B92" s="1" t="s">
        <v>103</v>
      </c>
      <c r="C92" s="1"/>
      <c r="D92" s="1"/>
      <c r="E92" s="1"/>
      <c r="F92" s="1"/>
      <c r="G92" s="1"/>
      <c r="H92" s="1"/>
      <c r="I92" s="1"/>
      <c r="J92" s="1"/>
      <c r="K92" s="1"/>
      <c r="L92" s="2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</row>
    <row r="93" spans="1:60" ht="24.75" customHeight="1" thickBot="1">
      <c r="A93" s="1"/>
      <c r="B93" s="14" t="s">
        <v>83</v>
      </c>
      <c r="C93" s="55" t="s">
        <v>0</v>
      </c>
      <c r="D93" s="55" t="s">
        <v>1</v>
      </c>
      <c r="E93" s="55" t="s">
        <v>2</v>
      </c>
      <c r="F93" s="55" t="s">
        <v>3</v>
      </c>
      <c r="G93" s="55" t="s">
        <v>4</v>
      </c>
      <c r="H93" s="55" t="s">
        <v>5</v>
      </c>
      <c r="I93" s="55" t="s">
        <v>6</v>
      </c>
      <c r="J93" s="55" t="s">
        <v>7</v>
      </c>
      <c r="K93" s="55" t="s">
        <v>8</v>
      </c>
      <c r="L93" s="56" t="s">
        <v>9</v>
      </c>
      <c r="M93" s="55" t="s">
        <v>10</v>
      </c>
      <c r="N93" s="55" t="s">
        <v>11</v>
      </c>
      <c r="O93" s="55" t="s">
        <v>12</v>
      </c>
      <c r="P93" s="55" t="s">
        <v>13</v>
      </c>
      <c r="Q93" s="55" t="s">
        <v>14</v>
      </c>
      <c r="R93" s="55" t="s">
        <v>15</v>
      </c>
      <c r="S93" s="55" t="s">
        <v>16</v>
      </c>
      <c r="T93" s="55" t="s">
        <v>17</v>
      </c>
      <c r="U93" s="55" t="s">
        <v>18</v>
      </c>
      <c r="V93" s="55" t="s">
        <v>19</v>
      </c>
      <c r="W93" s="55" t="s">
        <v>20</v>
      </c>
      <c r="X93" s="15" t="s">
        <v>21</v>
      </c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</row>
    <row r="94" spans="1:60" ht="24.75" customHeight="1" thickTop="1">
      <c r="A94" s="1"/>
      <c r="B94" s="20" t="s">
        <v>103</v>
      </c>
      <c r="C94" s="18">
        <v>377</v>
      </c>
      <c r="D94" s="18">
        <f>905-C94</f>
        <v>528</v>
      </c>
      <c r="E94" s="18">
        <f>1358-D94-C94</f>
        <v>453</v>
      </c>
      <c r="F94" s="18">
        <f>1948-E94-D94-C94</f>
        <v>590</v>
      </c>
      <c r="G94" s="18">
        <v>408</v>
      </c>
      <c r="H94" s="18">
        <f>840-G94</f>
        <v>432</v>
      </c>
      <c r="I94" s="18">
        <f>1298-H94-G94</f>
        <v>458</v>
      </c>
      <c r="J94" s="18">
        <f>1948-I94-H94-G94</f>
        <v>650</v>
      </c>
      <c r="K94" s="18">
        <v>436</v>
      </c>
      <c r="L94" s="57">
        <f>1007-K94</f>
        <v>571</v>
      </c>
      <c r="M94" s="18">
        <f>1507-L94-K94</f>
        <v>500</v>
      </c>
      <c r="N94" s="20">
        <f>2451-M94-L94-K94</f>
        <v>944</v>
      </c>
      <c r="O94" s="20">
        <f>525</f>
        <v>525</v>
      </c>
      <c r="P94" s="20">
        <f>1111-O94</f>
        <v>586</v>
      </c>
      <c r="Q94" s="20">
        <f>1643-P94-O94</f>
        <v>532</v>
      </c>
      <c r="R94" s="20">
        <f>2539-Q94-P94-O94</f>
        <v>896</v>
      </c>
      <c r="S94" s="20">
        <v>438</v>
      </c>
      <c r="T94" s="20">
        <f>910-S94</f>
        <v>472</v>
      </c>
      <c r="U94" s="20">
        <f>1412-T94-S94</f>
        <v>502</v>
      </c>
      <c r="V94" s="20">
        <f>2370-U94-T94-S94</f>
        <v>958</v>
      </c>
      <c r="W94" s="82">
        <v>480</v>
      </c>
      <c r="X94" s="83">
        <f>959-W94</f>
        <v>479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</row>
    <row r="95" spans="1:60" ht="24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2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</row>
    <row r="96" spans="1:60" ht="24.75" customHeight="1">
      <c r="A96" s="1"/>
      <c r="B96" s="1" t="s">
        <v>104</v>
      </c>
      <c r="C96" s="1"/>
      <c r="D96" s="1"/>
      <c r="E96" s="1"/>
      <c r="F96" s="1"/>
      <c r="G96" s="1"/>
      <c r="H96" s="1"/>
      <c r="I96" s="1"/>
      <c r="J96" s="1"/>
      <c r="K96" s="1"/>
      <c r="L96" s="2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</row>
    <row r="97" spans="1:60" ht="24.75" customHeight="1" thickBot="1">
      <c r="A97" s="1"/>
      <c r="B97" s="14" t="s">
        <v>83</v>
      </c>
      <c r="C97" s="55" t="s">
        <v>0</v>
      </c>
      <c r="D97" s="55" t="s">
        <v>1</v>
      </c>
      <c r="E97" s="55" t="s">
        <v>2</v>
      </c>
      <c r="F97" s="55" t="s">
        <v>3</v>
      </c>
      <c r="G97" s="55" t="s">
        <v>4</v>
      </c>
      <c r="H97" s="55" t="s">
        <v>5</v>
      </c>
      <c r="I97" s="55" t="s">
        <v>6</v>
      </c>
      <c r="J97" s="55" t="s">
        <v>7</v>
      </c>
      <c r="K97" s="55" t="s">
        <v>8</v>
      </c>
      <c r="L97" s="56" t="s">
        <v>9</v>
      </c>
      <c r="M97" s="55" t="s">
        <v>10</v>
      </c>
      <c r="N97" s="55" t="s">
        <v>11</v>
      </c>
      <c r="O97" s="55" t="s">
        <v>12</v>
      </c>
      <c r="P97" s="55" t="s">
        <v>13</v>
      </c>
      <c r="Q97" s="55" t="s">
        <v>14</v>
      </c>
      <c r="R97" s="55" t="s">
        <v>15</v>
      </c>
      <c r="S97" s="55" t="s">
        <v>16</v>
      </c>
      <c r="T97" s="55" t="s">
        <v>17</v>
      </c>
      <c r="U97" s="55" t="s">
        <v>18</v>
      </c>
      <c r="V97" s="55" t="s">
        <v>19</v>
      </c>
      <c r="W97" s="55" t="s">
        <v>20</v>
      </c>
      <c r="X97" s="15" t="s">
        <v>21</v>
      </c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</row>
    <row r="98" spans="1:60" ht="24.75" customHeight="1" thickTop="1">
      <c r="A98" s="1"/>
      <c r="B98" s="11" t="s">
        <v>105</v>
      </c>
      <c r="C98" s="11"/>
      <c r="D98" s="11"/>
      <c r="E98" s="11"/>
      <c r="F98" s="11"/>
      <c r="G98" s="11"/>
      <c r="H98" s="11"/>
      <c r="I98" s="11"/>
      <c r="J98" s="11">
        <v>11</v>
      </c>
      <c r="K98" s="11">
        <v>10</v>
      </c>
      <c r="L98" s="54">
        <v>10</v>
      </c>
      <c r="M98" s="11">
        <v>10</v>
      </c>
      <c r="N98" s="79">
        <v>10</v>
      </c>
      <c r="O98" s="79">
        <v>13</v>
      </c>
      <c r="P98" s="79">
        <v>12</v>
      </c>
      <c r="Q98" s="79">
        <v>12</v>
      </c>
      <c r="R98" s="79">
        <v>12</v>
      </c>
      <c r="S98" s="79">
        <v>14</v>
      </c>
      <c r="T98" s="79">
        <v>15</v>
      </c>
      <c r="U98" s="79">
        <v>15</v>
      </c>
      <c r="V98" s="79">
        <v>15</v>
      </c>
      <c r="W98" s="79">
        <f>V98</f>
        <v>15</v>
      </c>
      <c r="X98" s="79">
        <v>17</v>
      </c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</row>
    <row r="99" spans="1:60" ht="24.75" customHeight="1">
      <c r="A99" s="1"/>
      <c r="B99" s="11" t="s">
        <v>106</v>
      </c>
      <c r="C99" s="11"/>
      <c r="D99" s="11"/>
      <c r="E99" s="11"/>
      <c r="F99" s="11"/>
      <c r="G99" s="11"/>
      <c r="H99" s="11"/>
      <c r="I99" s="11"/>
      <c r="J99" s="11">
        <f>1528-I99-H99-G99</f>
        <v>1528</v>
      </c>
      <c r="K99" s="11">
        <v>369</v>
      </c>
      <c r="L99" s="54">
        <f>818-K99</f>
        <v>449</v>
      </c>
      <c r="M99" s="11">
        <f>1064-L99-K99</f>
        <v>246</v>
      </c>
      <c r="N99" s="76">
        <f>1674-M99-L99-K99</f>
        <v>610</v>
      </c>
      <c r="O99" s="76">
        <v>354</v>
      </c>
      <c r="P99" s="76">
        <f>800-O99</f>
        <v>446</v>
      </c>
      <c r="Q99" s="76">
        <f>1251-P99-O99</f>
        <v>451</v>
      </c>
      <c r="R99" s="76">
        <f>1938-Q99-P99-O99</f>
        <v>687</v>
      </c>
      <c r="S99" s="76">
        <v>438</v>
      </c>
      <c r="T99" s="76">
        <f>972-S99</f>
        <v>534</v>
      </c>
      <c r="U99" s="76">
        <f>1412-T99-S99</f>
        <v>440</v>
      </c>
      <c r="V99" s="76">
        <f>2414-U99-T99-S99</f>
        <v>1002</v>
      </c>
      <c r="W99" s="76">
        <f>V99</f>
        <v>1002</v>
      </c>
      <c r="X99" s="76">
        <f>1112</f>
        <v>1112</v>
      </c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</row>
    <row r="100" spans="1:60" ht="24.75" customHeight="1">
      <c r="A100" s="1"/>
      <c r="B100" s="11" t="s">
        <v>107</v>
      </c>
      <c r="C100" s="11">
        <v>6</v>
      </c>
      <c r="D100" s="11">
        <v>6</v>
      </c>
      <c r="E100" s="11">
        <v>6</v>
      </c>
      <c r="F100" s="11">
        <v>6</v>
      </c>
      <c r="G100" s="11">
        <v>6</v>
      </c>
      <c r="H100" s="11">
        <v>6</v>
      </c>
      <c r="I100" s="11">
        <v>6</v>
      </c>
      <c r="J100" s="11">
        <v>6</v>
      </c>
      <c r="K100" s="11">
        <v>6</v>
      </c>
      <c r="L100" s="54">
        <v>6</v>
      </c>
      <c r="M100" s="11">
        <v>6</v>
      </c>
      <c r="N100" s="76">
        <v>6</v>
      </c>
      <c r="O100" s="76">
        <v>6</v>
      </c>
      <c r="P100" s="76">
        <v>6</v>
      </c>
      <c r="Q100" s="76">
        <v>6</v>
      </c>
      <c r="R100" s="76">
        <v>6</v>
      </c>
      <c r="S100" s="76">
        <v>6</v>
      </c>
      <c r="T100" s="76">
        <v>6</v>
      </c>
      <c r="U100" s="76">
        <v>6</v>
      </c>
      <c r="V100" s="76">
        <v>6</v>
      </c>
      <c r="W100" s="76">
        <f t="shared" ref="W100:W101" si="62">V100</f>
        <v>6</v>
      </c>
      <c r="X100" s="76">
        <v>6</v>
      </c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</row>
    <row r="101" spans="1:60" ht="24.75" customHeight="1">
      <c r="A101" s="1"/>
      <c r="B101" s="11" t="s">
        <v>108</v>
      </c>
      <c r="C101" s="11">
        <v>234</v>
      </c>
      <c r="D101" s="11">
        <f>528-C101</f>
        <v>294</v>
      </c>
      <c r="E101" s="11">
        <f>782-D101-C101</f>
        <v>254</v>
      </c>
      <c r="F101" s="11">
        <f>1180-E101-D101-C101</f>
        <v>398</v>
      </c>
      <c r="G101" s="11">
        <v>254</v>
      </c>
      <c r="H101" s="11">
        <f>566-G101</f>
        <v>312</v>
      </c>
      <c r="I101" s="11">
        <f>833-H101-G101</f>
        <v>267</v>
      </c>
      <c r="J101" s="11">
        <f>1246-I101-H101-G101</f>
        <v>413</v>
      </c>
      <c r="K101" s="11">
        <v>264</v>
      </c>
      <c r="L101" s="54">
        <f>492-K101</f>
        <v>228</v>
      </c>
      <c r="M101" s="11">
        <f>841-L101-K101</f>
        <v>349</v>
      </c>
      <c r="N101" s="76">
        <f>2705-M101-L101-K101</f>
        <v>1864</v>
      </c>
      <c r="O101" s="76">
        <v>237</v>
      </c>
      <c r="P101" s="76">
        <f>519-O101</f>
        <v>282</v>
      </c>
      <c r="Q101" s="76">
        <f>799-P101-O101</f>
        <v>280</v>
      </c>
      <c r="R101" s="76">
        <f>1230-Q101-P101-O101</f>
        <v>431</v>
      </c>
      <c r="S101" s="76">
        <v>237</v>
      </c>
      <c r="T101" s="76">
        <f>535-S101</f>
        <v>298</v>
      </c>
      <c r="U101" s="76">
        <f>785-T101-S101</f>
        <v>250</v>
      </c>
      <c r="V101" s="76">
        <f>1284-U101-T101-S101</f>
        <v>499</v>
      </c>
      <c r="W101" s="76">
        <f t="shared" si="62"/>
        <v>499</v>
      </c>
      <c r="X101" s="76">
        <f>554</f>
        <v>554</v>
      </c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</row>
    <row r="102" spans="1:60" ht="24.75" customHeight="1">
      <c r="A102" s="1"/>
      <c r="B102" s="1"/>
      <c r="C102" s="5"/>
      <c r="D102" s="5"/>
      <c r="E102" s="5"/>
      <c r="F102" s="5"/>
      <c r="G102" s="5"/>
      <c r="H102" s="5"/>
      <c r="I102" s="5"/>
      <c r="J102" s="5"/>
      <c r="K102" s="5"/>
      <c r="L102" s="61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</row>
    <row r="103" spans="1:60" ht="24.75" customHeight="1">
      <c r="A103" s="1"/>
      <c r="B103" s="1" t="s">
        <v>109</v>
      </c>
      <c r="C103" s="1"/>
      <c r="D103" s="1"/>
      <c r="E103" s="1"/>
      <c r="F103" s="1"/>
      <c r="G103" s="1"/>
      <c r="H103" s="1"/>
      <c r="I103" s="1"/>
      <c r="J103" s="1"/>
      <c r="K103" s="1"/>
      <c r="L103" s="2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</row>
    <row r="104" spans="1:60" ht="24.75" customHeight="1" thickBot="1">
      <c r="A104" s="1"/>
      <c r="B104" s="14" t="s">
        <v>83</v>
      </c>
      <c r="C104" s="15" t="s">
        <v>0</v>
      </c>
      <c r="D104" s="15" t="s">
        <v>1</v>
      </c>
      <c r="E104" s="15" t="s">
        <v>2</v>
      </c>
      <c r="F104" s="15" t="s">
        <v>3</v>
      </c>
      <c r="G104" s="15" t="s">
        <v>4</v>
      </c>
      <c r="H104" s="15" t="s">
        <v>5</v>
      </c>
      <c r="I104" s="15" t="s">
        <v>6</v>
      </c>
      <c r="J104" s="15" t="s">
        <v>7</v>
      </c>
      <c r="K104" s="15" t="s">
        <v>8</v>
      </c>
      <c r="L104" s="17" t="s">
        <v>9</v>
      </c>
      <c r="M104" s="15" t="s">
        <v>10</v>
      </c>
      <c r="N104" s="15" t="s">
        <v>11</v>
      </c>
      <c r="O104" s="15" t="s">
        <v>12</v>
      </c>
      <c r="P104" s="15" t="s">
        <v>13</v>
      </c>
      <c r="Q104" s="15" t="s">
        <v>14</v>
      </c>
      <c r="R104" s="15" t="s">
        <v>15</v>
      </c>
      <c r="S104" s="15" t="s">
        <v>16</v>
      </c>
      <c r="T104" s="15" t="s">
        <v>17</v>
      </c>
      <c r="U104" s="15" t="s">
        <v>18</v>
      </c>
      <c r="V104" s="15" t="s">
        <v>19</v>
      </c>
      <c r="W104" s="15" t="s">
        <v>20</v>
      </c>
      <c r="X104" s="15" t="s">
        <v>21</v>
      </c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</row>
    <row r="105" spans="1:60" ht="24.75" customHeight="1" thickTop="1">
      <c r="A105" s="1"/>
      <c r="B105" s="20" t="s">
        <v>146</v>
      </c>
      <c r="C105" s="20">
        <v>8769</v>
      </c>
      <c r="D105" s="20">
        <f>27337-C105</f>
        <v>18568</v>
      </c>
      <c r="E105" s="20">
        <f>42807-D105-C105</f>
        <v>15470</v>
      </c>
      <c r="F105" s="20">
        <f>56600-E105-D105-C105</f>
        <v>13793</v>
      </c>
      <c r="G105" s="20">
        <v>8856</v>
      </c>
      <c r="H105" s="20">
        <f>19388-G105</f>
        <v>10532</v>
      </c>
      <c r="I105" s="20">
        <f>31793-H105-G105</f>
        <v>12405</v>
      </c>
      <c r="J105" s="20">
        <f>49206-I105-H105-G105</f>
        <v>17413</v>
      </c>
      <c r="K105" s="20">
        <v>11011</v>
      </c>
      <c r="L105" s="84">
        <f>26228-K105</f>
        <v>15217</v>
      </c>
      <c r="M105" s="20">
        <f>37340-L105-K105</f>
        <v>11112</v>
      </c>
      <c r="N105" s="20">
        <f>51892-M105-L105-K105</f>
        <v>14552</v>
      </c>
      <c r="O105" s="20">
        <v>16033</v>
      </c>
      <c r="P105" s="20">
        <f>35630-O105</f>
        <v>19597</v>
      </c>
      <c r="Q105" s="20">
        <f>52679-P105-O105</f>
        <v>17049</v>
      </c>
      <c r="R105" s="20">
        <f>72698-Q105-P105-O105</f>
        <v>20019</v>
      </c>
      <c r="S105" s="20">
        <v>11640</v>
      </c>
      <c r="T105" s="20">
        <f>24806-S105</f>
        <v>13166</v>
      </c>
      <c r="U105" s="20">
        <f>39125-T105-S105</f>
        <v>14319</v>
      </c>
      <c r="V105" s="20">
        <f>57628-U105-T105-S105</f>
        <v>18503</v>
      </c>
      <c r="W105" s="20">
        <v>13536</v>
      </c>
      <c r="X105" s="20">
        <f>29647-W105</f>
        <v>16111</v>
      </c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</row>
    <row r="106" spans="1:60" ht="24.75" customHeight="1">
      <c r="A106" s="1"/>
      <c r="B106" s="18" t="s">
        <v>110</v>
      </c>
      <c r="C106" s="18"/>
      <c r="D106" s="18"/>
      <c r="E106" s="18">
        <f>1355-D106-C106</f>
        <v>1355</v>
      </c>
      <c r="F106" s="18">
        <f>2465-E106-D106-C106</f>
        <v>1110</v>
      </c>
      <c r="G106" s="18"/>
      <c r="H106" s="18"/>
      <c r="I106" s="18"/>
      <c r="J106" s="18"/>
      <c r="K106" s="18"/>
      <c r="L106" s="57"/>
      <c r="M106" s="18"/>
      <c r="N106" s="18"/>
      <c r="O106" s="18"/>
      <c r="P106" s="18"/>
      <c r="Q106" s="18"/>
      <c r="R106" s="18">
        <f>374-Q106-P106-O106</f>
        <v>374</v>
      </c>
      <c r="S106" s="18"/>
      <c r="T106" s="18">
        <f>155-S106</f>
        <v>155</v>
      </c>
      <c r="U106" s="18"/>
      <c r="V106" s="18">
        <f>3109-U106-T106-S106</f>
        <v>2954</v>
      </c>
      <c r="W106" s="18">
        <v>2731</v>
      </c>
      <c r="X106" s="18">
        <f>3119-W106</f>
        <v>388</v>
      </c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</row>
    <row r="107" spans="1:60" ht="24.75" customHeight="1">
      <c r="A107" s="1"/>
      <c r="B107" s="18" t="s">
        <v>111</v>
      </c>
      <c r="C107" s="18"/>
      <c r="D107" s="18"/>
      <c r="E107" s="18"/>
      <c r="F107" s="18"/>
      <c r="G107" s="18"/>
      <c r="H107" s="18"/>
      <c r="I107" s="18"/>
      <c r="J107" s="18"/>
      <c r="K107" s="18"/>
      <c r="L107" s="57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>
        <f>2438-W107</f>
        <v>2438</v>
      </c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</row>
    <row r="108" spans="1:60" ht="24.75" customHeight="1">
      <c r="A108" s="1"/>
      <c r="B108" s="18" t="s">
        <v>112</v>
      </c>
      <c r="C108" s="18"/>
      <c r="D108" s="18"/>
      <c r="E108" s="18"/>
      <c r="F108" s="18"/>
      <c r="G108" s="18"/>
      <c r="H108" s="18"/>
      <c r="I108" s="18"/>
      <c r="J108" s="18"/>
      <c r="K108" s="18"/>
      <c r="L108" s="57"/>
      <c r="M108" s="18"/>
      <c r="N108" s="18">
        <f>1193-M108-L108-K108</f>
        <v>1193</v>
      </c>
      <c r="O108" s="18">
        <v>874</v>
      </c>
      <c r="P108" s="18">
        <f>1774-O108</f>
        <v>900</v>
      </c>
      <c r="Q108" s="18">
        <f>2527-P108-O108</f>
        <v>753</v>
      </c>
      <c r="R108" s="18">
        <f>3253-Q108-P108-O108</f>
        <v>726</v>
      </c>
      <c r="S108" s="18">
        <v>484</v>
      </c>
      <c r="T108" s="18">
        <f>814-S108</f>
        <v>330</v>
      </c>
      <c r="U108" s="18"/>
      <c r="V108" s="18"/>
      <c r="W108" s="18">
        <v>467</v>
      </c>
      <c r="X108" s="18">
        <f>740-W108</f>
        <v>273</v>
      </c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</row>
    <row r="109" spans="1:60" ht="24.75" customHeight="1">
      <c r="A109" s="1"/>
      <c r="B109" s="18" t="s">
        <v>113</v>
      </c>
      <c r="C109" s="18">
        <v>619</v>
      </c>
      <c r="D109" s="18">
        <f>942-C109</f>
        <v>323</v>
      </c>
      <c r="E109" s="18">
        <f>1171-D109-C109</f>
        <v>229</v>
      </c>
      <c r="F109" s="18">
        <f>1199-E109-D109-C109</f>
        <v>28</v>
      </c>
      <c r="G109" s="18">
        <v>22</v>
      </c>
      <c r="H109" s="18"/>
      <c r="I109" s="18">
        <f>399-H109-G109</f>
        <v>377</v>
      </c>
      <c r="J109" s="18"/>
      <c r="K109" s="18">
        <v>348</v>
      </c>
      <c r="L109" s="57"/>
      <c r="M109" s="18">
        <f>1384-L109-K109</f>
        <v>1036</v>
      </c>
      <c r="N109" s="18">
        <f>1522-M109-L109-K109</f>
        <v>138</v>
      </c>
      <c r="O109" s="18">
        <v>980</v>
      </c>
      <c r="P109" s="18">
        <f>1847-O109</f>
        <v>867</v>
      </c>
      <c r="Q109" s="18">
        <f>1884-P109-O109</f>
        <v>37</v>
      </c>
      <c r="R109" s="18">
        <f>1974-Q109-P109-O109</f>
        <v>90</v>
      </c>
      <c r="S109" s="18"/>
      <c r="T109" s="18"/>
      <c r="U109" s="18"/>
      <c r="V109" s="18"/>
      <c r="W109" s="18">
        <v>428</v>
      </c>
      <c r="X109" s="18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</row>
    <row r="110" spans="1:60" ht="24.75" customHeight="1">
      <c r="A110" s="1"/>
      <c r="B110" s="18" t="s">
        <v>114</v>
      </c>
      <c r="C110" s="18"/>
      <c r="D110" s="18"/>
      <c r="E110" s="18"/>
      <c r="F110" s="18"/>
      <c r="G110" s="18"/>
      <c r="H110" s="18"/>
      <c r="I110" s="18"/>
      <c r="J110" s="18"/>
      <c r="K110" s="18"/>
      <c r="L110" s="57"/>
      <c r="M110" s="18"/>
      <c r="N110" s="18">
        <f>2039-M110-L110-K110</f>
        <v>2039</v>
      </c>
      <c r="O110" s="18"/>
      <c r="P110" s="18"/>
      <c r="Q110" s="18">
        <f>765-P110-O110</f>
        <v>765</v>
      </c>
      <c r="R110" s="18">
        <f>765-Q110-P110-O110</f>
        <v>0</v>
      </c>
      <c r="S110" s="18"/>
      <c r="T110" s="18"/>
      <c r="U110" s="18">
        <f>2045-S110-T110</f>
        <v>2045</v>
      </c>
      <c r="V110" s="18">
        <f>3088-U110-T110-S110</f>
        <v>1043</v>
      </c>
      <c r="W110" s="18"/>
      <c r="X110" s="18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</row>
    <row r="111" spans="1:60" ht="24.75" customHeight="1">
      <c r="A111" s="1"/>
      <c r="B111" s="18" t="s">
        <v>115</v>
      </c>
      <c r="C111" s="18">
        <v>114</v>
      </c>
      <c r="D111" s="18">
        <f>124-C111</f>
        <v>10</v>
      </c>
      <c r="E111" s="18"/>
      <c r="F111" s="18"/>
      <c r="G111" s="18"/>
      <c r="H111" s="18">
        <f>1886-G111</f>
        <v>1886</v>
      </c>
      <c r="I111" s="18"/>
      <c r="J111" s="18"/>
      <c r="K111" s="18"/>
      <c r="L111" s="57"/>
      <c r="M111" s="18"/>
      <c r="N111" s="18"/>
      <c r="O111" s="18"/>
      <c r="P111" s="18">
        <f>97-O111</f>
        <v>97</v>
      </c>
      <c r="Q111" s="18">
        <f>430-P111-O111</f>
        <v>333</v>
      </c>
      <c r="R111" s="18">
        <f>1471-Q111-P111-O111</f>
        <v>1041</v>
      </c>
      <c r="S111" s="18">
        <v>693</v>
      </c>
      <c r="T111" s="18"/>
      <c r="U111" s="18">
        <f>2234-T111-S111</f>
        <v>1541</v>
      </c>
      <c r="V111" s="18">
        <f>3081-U111-T111-S111</f>
        <v>847</v>
      </c>
      <c r="W111" s="18"/>
      <c r="X111" s="18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</row>
    <row r="112" spans="1:60" ht="24.75" customHeight="1">
      <c r="A112" s="1"/>
      <c r="B112" s="22" t="s">
        <v>116</v>
      </c>
      <c r="C112" s="22">
        <v>312</v>
      </c>
      <c r="D112" s="22">
        <f>536-C112</f>
        <v>224</v>
      </c>
      <c r="E112" s="22">
        <f>632-D112-C112</f>
        <v>96</v>
      </c>
      <c r="F112" s="22">
        <f>745-E112-D112-C112</f>
        <v>113</v>
      </c>
      <c r="G112" s="22"/>
      <c r="H112" s="22">
        <f>735-G112</f>
        <v>735</v>
      </c>
      <c r="I112" s="22">
        <f>1331-H112-G112</f>
        <v>596</v>
      </c>
      <c r="J112" s="22">
        <f>1416-I112-H112-G112</f>
        <v>85</v>
      </c>
      <c r="K112" s="22"/>
      <c r="L112" s="58">
        <f>1512-K112</f>
        <v>1512</v>
      </c>
      <c r="M112" s="22">
        <f>2669-L112-K112</f>
        <v>1157</v>
      </c>
      <c r="N112" s="22">
        <f>3106-M112-L112-K112</f>
        <v>437</v>
      </c>
      <c r="O112" s="22"/>
      <c r="P112" s="22">
        <f>2011-O112</f>
        <v>2011</v>
      </c>
      <c r="Q112" s="22">
        <f>2225-P112-O112</f>
        <v>214</v>
      </c>
      <c r="R112" s="22">
        <f>3444-Q112-P112-O112</f>
        <v>1219</v>
      </c>
      <c r="S112" s="22">
        <v>789</v>
      </c>
      <c r="T112" s="33">
        <f>1471-R112</f>
        <v>252</v>
      </c>
      <c r="U112" s="22">
        <f>1695-T112-S112</f>
        <v>654</v>
      </c>
      <c r="V112" s="22">
        <f>2308-T112-S112-U112</f>
        <v>613</v>
      </c>
      <c r="W112" s="22">
        <v>223</v>
      </c>
      <c r="X112" s="22">
        <f>599-W112</f>
        <v>376</v>
      </c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</row>
    <row r="113" spans="1:60" ht="24.75" customHeight="1">
      <c r="A113" s="1"/>
      <c r="B113" s="22" t="s">
        <v>117</v>
      </c>
      <c r="C113" s="22"/>
      <c r="D113" s="22">
        <f>264-C113</f>
        <v>264</v>
      </c>
      <c r="E113" s="22"/>
      <c r="F113" s="22"/>
      <c r="G113" s="22">
        <v>88</v>
      </c>
      <c r="H113" s="22">
        <v>438</v>
      </c>
      <c r="I113" s="22">
        <f>468-H113-G113</f>
        <v>-58</v>
      </c>
      <c r="J113" s="22">
        <f>1360-I113-H113-G113</f>
        <v>892</v>
      </c>
      <c r="K113" s="22">
        <v>1915</v>
      </c>
      <c r="L113" s="58">
        <f>4246-K113</f>
        <v>2331</v>
      </c>
      <c r="M113" s="22">
        <f>4561-L113-K113</f>
        <v>315</v>
      </c>
      <c r="N113" s="22">
        <f>4729-M113-L113-K113</f>
        <v>168</v>
      </c>
      <c r="O113" s="22"/>
      <c r="P113" s="22">
        <f>396-O113</f>
        <v>396</v>
      </c>
      <c r="Q113" s="22">
        <f>759-P113-O113</f>
        <v>363</v>
      </c>
      <c r="R113" s="22"/>
      <c r="S113" s="22">
        <v>653</v>
      </c>
      <c r="T113" s="33">
        <f>851-S113</f>
        <v>198</v>
      </c>
      <c r="U113" s="22">
        <f>1233-T113-S113</f>
        <v>382</v>
      </c>
      <c r="V113" s="22"/>
      <c r="W113" s="22"/>
      <c r="X113" s="22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</row>
    <row r="114" spans="1:60" ht="24.75" customHeight="1">
      <c r="A114" s="1"/>
      <c r="B114" s="22" t="s">
        <v>118</v>
      </c>
      <c r="C114" s="22"/>
      <c r="D114" s="22"/>
      <c r="E114" s="22"/>
      <c r="F114" s="22"/>
      <c r="G114" s="22"/>
      <c r="H114" s="22"/>
      <c r="I114" s="22">
        <f>219-H114-G114</f>
        <v>219</v>
      </c>
      <c r="J114" s="22">
        <f>539-I114-H114-G114</f>
        <v>320</v>
      </c>
      <c r="K114" s="22"/>
      <c r="L114" s="58">
        <f>1771-K114</f>
        <v>1771</v>
      </c>
      <c r="M114" s="22">
        <f>4688-L114-K114</f>
        <v>2917</v>
      </c>
      <c r="N114" s="22">
        <f>5375-M114-L114-K114</f>
        <v>687</v>
      </c>
      <c r="O114" s="22">
        <v>347</v>
      </c>
      <c r="P114" s="22">
        <f>1266-O114</f>
        <v>919</v>
      </c>
      <c r="Q114" s="22">
        <f>1689-P114-O114</f>
        <v>423</v>
      </c>
      <c r="R114" s="22">
        <f>1930-Q114-P114-O114</f>
        <v>241</v>
      </c>
      <c r="S114" s="22"/>
      <c r="T114" s="33"/>
      <c r="U114" s="22"/>
      <c r="V114" s="22"/>
      <c r="W114" s="22"/>
      <c r="X114" s="22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</row>
    <row r="115" spans="1:60" ht="24.75" customHeight="1">
      <c r="A115" s="1"/>
      <c r="B115" s="22" t="s">
        <v>119</v>
      </c>
      <c r="C115" s="22">
        <v>198</v>
      </c>
      <c r="D115" s="22"/>
      <c r="E115" s="22"/>
      <c r="F115" s="22"/>
      <c r="G115" s="22">
        <v>780</v>
      </c>
      <c r="H115" s="22"/>
      <c r="I115" s="22"/>
      <c r="J115" s="22"/>
      <c r="K115" s="22">
        <v>439</v>
      </c>
      <c r="L115" s="58">
        <f>685-K115</f>
        <v>246</v>
      </c>
      <c r="M115" s="22"/>
      <c r="N115" s="22"/>
      <c r="O115" s="22"/>
      <c r="P115" s="22"/>
      <c r="Q115" s="22"/>
      <c r="R115" s="22"/>
      <c r="S115" s="22"/>
      <c r="T115" s="33"/>
      <c r="U115" s="22"/>
      <c r="V115" s="22"/>
      <c r="W115" s="22"/>
      <c r="X115" s="22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</row>
    <row r="116" spans="1:60" ht="24.75" customHeight="1">
      <c r="A116" s="1"/>
      <c r="B116" s="22" t="s">
        <v>120</v>
      </c>
      <c r="C116" s="22">
        <f t="shared" ref="C116:X116" si="63">C42+C45-SUM(C106:C115)</f>
        <v>821</v>
      </c>
      <c r="D116" s="22">
        <f t="shared" si="63"/>
        <v>1441</v>
      </c>
      <c r="E116" s="22">
        <f t="shared" si="63"/>
        <v>498</v>
      </c>
      <c r="F116" s="22">
        <f t="shared" si="63"/>
        <v>1510</v>
      </c>
      <c r="G116" s="22">
        <f t="shared" si="63"/>
        <v>876</v>
      </c>
      <c r="H116" s="22">
        <f t="shared" si="63"/>
        <v>426</v>
      </c>
      <c r="I116" s="22">
        <f t="shared" si="63"/>
        <v>3701</v>
      </c>
      <c r="J116" s="22">
        <f t="shared" si="63"/>
        <v>5322</v>
      </c>
      <c r="K116" s="22">
        <f t="shared" si="63"/>
        <v>1039</v>
      </c>
      <c r="L116" s="22">
        <f t="shared" si="63"/>
        <v>1362</v>
      </c>
      <c r="M116" s="22">
        <f t="shared" si="63"/>
        <v>2091</v>
      </c>
      <c r="N116" s="22">
        <f t="shared" si="63"/>
        <v>-23</v>
      </c>
      <c r="O116" s="22">
        <f t="shared" si="63"/>
        <v>886</v>
      </c>
      <c r="P116" s="22">
        <f t="shared" si="63"/>
        <v>979</v>
      </c>
      <c r="Q116" s="22">
        <f t="shared" si="63"/>
        <v>953</v>
      </c>
      <c r="R116" s="22">
        <f t="shared" si="63"/>
        <v>1357</v>
      </c>
      <c r="S116" s="22">
        <f t="shared" si="63"/>
        <v>1364</v>
      </c>
      <c r="T116" s="22">
        <f t="shared" si="63"/>
        <v>2745</v>
      </c>
      <c r="U116" s="22">
        <f t="shared" si="63"/>
        <v>-44</v>
      </c>
      <c r="V116" s="22">
        <f t="shared" si="63"/>
        <v>3482</v>
      </c>
      <c r="W116" s="22">
        <f t="shared" si="63"/>
        <v>676</v>
      </c>
      <c r="X116" s="22">
        <f t="shared" si="63"/>
        <v>1719</v>
      </c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</row>
    <row r="117" spans="1:60" ht="24.75" customHeight="1">
      <c r="A117" s="1"/>
      <c r="B117" s="22" t="s">
        <v>121</v>
      </c>
      <c r="C117" s="22">
        <f t="shared" ref="C117:X117" si="64">SUM(C105:C116)</f>
        <v>10833</v>
      </c>
      <c r="D117" s="22">
        <f t="shared" si="64"/>
        <v>20830</v>
      </c>
      <c r="E117" s="22">
        <f t="shared" si="64"/>
        <v>17648</v>
      </c>
      <c r="F117" s="22">
        <f t="shared" si="64"/>
        <v>16554</v>
      </c>
      <c r="G117" s="22">
        <f t="shared" si="64"/>
        <v>10622</v>
      </c>
      <c r="H117" s="22">
        <f t="shared" si="64"/>
        <v>14017</v>
      </c>
      <c r="I117" s="22">
        <f t="shared" si="64"/>
        <v>17240</v>
      </c>
      <c r="J117" s="22">
        <f t="shared" si="64"/>
        <v>24032</v>
      </c>
      <c r="K117" s="22">
        <f t="shared" si="64"/>
        <v>14752</v>
      </c>
      <c r="L117" s="22">
        <f t="shared" si="64"/>
        <v>22439</v>
      </c>
      <c r="M117" s="22">
        <f t="shared" si="64"/>
        <v>18628</v>
      </c>
      <c r="N117" s="22">
        <f t="shared" si="64"/>
        <v>19191</v>
      </c>
      <c r="O117" s="22">
        <f t="shared" si="64"/>
        <v>19120</v>
      </c>
      <c r="P117" s="22">
        <f t="shared" si="64"/>
        <v>25766</v>
      </c>
      <c r="Q117" s="22">
        <f t="shared" si="64"/>
        <v>20890</v>
      </c>
      <c r="R117" s="22">
        <f t="shared" si="64"/>
        <v>25067</v>
      </c>
      <c r="S117" s="22">
        <f t="shared" si="64"/>
        <v>15623</v>
      </c>
      <c r="T117" s="22">
        <f t="shared" si="64"/>
        <v>16846</v>
      </c>
      <c r="U117" s="22">
        <f t="shared" si="64"/>
        <v>18897</v>
      </c>
      <c r="V117" s="85">
        <f t="shared" si="64"/>
        <v>27442</v>
      </c>
      <c r="W117" s="22">
        <f t="shared" si="64"/>
        <v>18061</v>
      </c>
      <c r="X117" s="22">
        <f t="shared" si="64"/>
        <v>21305</v>
      </c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</row>
    <row r="118" spans="1:60" ht="24.75" customHeight="1">
      <c r="A118" s="1"/>
      <c r="B118" s="41" t="s">
        <v>122</v>
      </c>
      <c r="C118" s="86">
        <f>SUM(C106:C116)/C117</f>
        <v>0.19052893935198006</v>
      </c>
      <c r="D118" s="86">
        <f t="shared" ref="D118:X118" si="65">SUM(D106:D116)/D117</f>
        <v>0.1085933749399904</v>
      </c>
      <c r="E118" s="86">
        <f t="shared" si="65"/>
        <v>0.12341341795104262</v>
      </c>
      <c r="F118" s="86">
        <f t="shared" si="65"/>
        <v>0.16678748338770086</v>
      </c>
      <c r="G118" s="86">
        <f t="shared" si="65"/>
        <v>0.16625870834117867</v>
      </c>
      <c r="H118" s="86">
        <f t="shared" si="65"/>
        <v>0.24862666761789257</v>
      </c>
      <c r="I118" s="86">
        <f t="shared" si="65"/>
        <v>0.28045243619489557</v>
      </c>
      <c r="J118" s="86">
        <f t="shared" si="65"/>
        <v>0.27542443408788281</v>
      </c>
      <c r="K118" s="86">
        <f t="shared" si="65"/>
        <v>0.25359273318872017</v>
      </c>
      <c r="L118" s="86">
        <f t="shared" si="65"/>
        <v>0.32185034983733679</v>
      </c>
      <c r="M118" s="86">
        <f t="shared" si="65"/>
        <v>0.40347863431393599</v>
      </c>
      <c r="N118" s="86">
        <f t="shared" si="65"/>
        <v>0.24172789328330987</v>
      </c>
      <c r="O118" s="86">
        <f t="shared" si="65"/>
        <v>0.16145397489539748</v>
      </c>
      <c r="P118" s="86">
        <f t="shared" si="65"/>
        <v>0.23942404719397656</v>
      </c>
      <c r="Q118" s="86">
        <f t="shared" si="65"/>
        <v>0.18386787936811871</v>
      </c>
      <c r="R118" s="86">
        <f t="shared" si="65"/>
        <v>0.20138030079387242</v>
      </c>
      <c r="S118" s="86">
        <f t="shared" si="65"/>
        <v>0.25494463291301289</v>
      </c>
      <c r="T118" s="86">
        <f t="shared" si="65"/>
        <v>0.21844948355692745</v>
      </c>
      <c r="U118" s="86">
        <f t="shared" si="65"/>
        <v>0.24226067629782505</v>
      </c>
      <c r="V118" s="86">
        <f t="shared" si="65"/>
        <v>0.32574156402594562</v>
      </c>
      <c r="W118" s="86">
        <f t="shared" si="65"/>
        <v>0.25053983721831569</v>
      </c>
      <c r="X118" s="86">
        <f t="shared" si="65"/>
        <v>0.2437925369631542</v>
      </c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</row>
    <row r="119" spans="1:60" ht="24.75" customHeight="1">
      <c r="A119" s="1"/>
      <c r="B119" s="11" t="s">
        <v>123</v>
      </c>
      <c r="C119" s="87">
        <f>C117-C105</f>
        <v>2064</v>
      </c>
      <c r="D119" s="87">
        <f t="shared" ref="D119:X119" si="66">D117-D105</f>
        <v>2262</v>
      </c>
      <c r="E119" s="87">
        <f t="shared" si="66"/>
        <v>2178</v>
      </c>
      <c r="F119" s="87">
        <f t="shared" si="66"/>
        <v>2761</v>
      </c>
      <c r="G119" s="87">
        <f t="shared" si="66"/>
        <v>1766</v>
      </c>
      <c r="H119" s="87">
        <f t="shared" si="66"/>
        <v>3485</v>
      </c>
      <c r="I119" s="87">
        <f t="shared" si="66"/>
        <v>4835</v>
      </c>
      <c r="J119" s="87">
        <f t="shared" si="66"/>
        <v>6619</v>
      </c>
      <c r="K119" s="87">
        <f t="shared" si="66"/>
        <v>3741</v>
      </c>
      <c r="L119" s="87">
        <f t="shared" si="66"/>
        <v>7222</v>
      </c>
      <c r="M119" s="87">
        <f t="shared" si="66"/>
        <v>7516</v>
      </c>
      <c r="N119" s="87">
        <f t="shared" si="66"/>
        <v>4639</v>
      </c>
      <c r="O119" s="87">
        <f t="shared" si="66"/>
        <v>3087</v>
      </c>
      <c r="P119" s="87">
        <f t="shared" si="66"/>
        <v>6169</v>
      </c>
      <c r="Q119" s="87">
        <f t="shared" si="66"/>
        <v>3841</v>
      </c>
      <c r="R119" s="87">
        <f t="shared" si="66"/>
        <v>5048</v>
      </c>
      <c r="S119" s="87">
        <f t="shared" si="66"/>
        <v>3983</v>
      </c>
      <c r="T119" s="87">
        <f t="shared" si="66"/>
        <v>3680</v>
      </c>
      <c r="U119" s="87">
        <f t="shared" si="66"/>
        <v>4578</v>
      </c>
      <c r="V119" s="87">
        <f t="shared" si="66"/>
        <v>8939</v>
      </c>
      <c r="W119" s="87">
        <f t="shared" si="66"/>
        <v>4525</v>
      </c>
      <c r="X119" s="87">
        <f t="shared" si="66"/>
        <v>5194</v>
      </c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</row>
    <row r="120" spans="1:60" ht="24.75" customHeight="1">
      <c r="A120" s="1"/>
      <c r="B120" s="1"/>
      <c r="C120" s="5"/>
      <c r="D120" s="5"/>
      <c r="E120" s="5"/>
      <c r="F120" s="5"/>
      <c r="G120" s="5"/>
      <c r="H120" s="5"/>
      <c r="I120" s="5"/>
      <c r="J120" s="5"/>
      <c r="K120" s="5"/>
      <c r="L120" s="61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</row>
    <row r="121" spans="1:60" ht="24.75" customHeight="1">
      <c r="A121" s="1"/>
      <c r="B121" s="1" t="s">
        <v>124</v>
      </c>
      <c r="C121" s="5"/>
      <c r="D121" s="5"/>
      <c r="E121" s="5"/>
      <c r="F121" s="5"/>
      <c r="G121" s="5"/>
      <c r="H121" s="5"/>
      <c r="I121" s="5"/>
      <c r="J121" s="5"/>
      <c r="K121" s="5"/>
      <c r="L121" s="61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</row>
    <row r="122" spans="1:60" ht="24.75" customHeight="1" thickBot="1">
      <c r="A122" s="1"/>
      <c r="B122" s="14" t="s">
        <v>125</v>
      </c>
      <c r="C122" s="15" t="s">
        <v>0</v>
      </c>
      <c r="D122" s="15" t="s">
        <v>1</v>
      </c>
      <c r="E122" s="15" t="s">
        <v>2</v>
      </c>
      <c r="F122" s="15" t="s">
        <v>3</v>
      </c>
      <c r="G122" s="15" t="s">
        <v>4</v>
      </c>
      <c r="H122" s="15" t="s">
        <v>5</v>
      </c>
      <c r="I122" s="15" t="s">
        <v>6</v>
      </c>
      <c r="J122" s="15" t="s">
        <v>7</v>
      </c>
      <c r="K122" s="15" t="s">
        <v>8</v>
      </c>
      <c r="L122" s="17" t="s">
        <v>9</v>
      </c>
      <c r="M122" s="15" t="s">
        <v>10</v>
      </c>
      <c r="N122" s="15" t="s">
        <v>11</v>
      </c>
      <c r="O122" s="15" t="s">
        <v>12</v>
      </c>
      <c r="P122" s="15" t="s">
        <v>13</v>
      </c>
      <c r="Q122" s="15" t="s">
        <v>14</v>
      </c>
      <c r="R122" s="15" t="s">
        <v>15</v>
      </c>
      <c r="S122" s="15" t="s">
        <v>16</v>
      </c>
      <c r="T122" s="15" t="s">
        <v>17</v>
      </c>
      <c r="U122" s="15" t="s">
        <v>18</v>
      </c>
      <c r="V122" s="15" t="s">
        <v>19</v>
      </c>
      <c r="W122" s="15" t="s">
        <v>20</v>
      </c>
      <c r="X122" s="15" t="s">
        <v>21</v>
      </c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</row>
    <row r="123" spans="1:60" ht="24.75" customHeight="1">
      <c r="A123" s="1"/>
      <c r="B123" s="22" t="s">
        <v>126</v>
      </c>
      <c r="C123" s="22">
        <v>26</v>
      </c>
      <c r="D123" s="22">
        <v>23</v>
      </c>
      <c r="E123" s="22">
        <v>20</v>
      </c>
      <c r="F123" s="22">
        <v>17</v>
      </c>
      <c r="G123" s="22">
        <v>15</v>
      </c>
      <c r="H123" s="22">
        <v>14</v>
      </c>
      <c r="I123" s="22">
        <v>14</v>
      </c>
      <c r="J123" s="22">
        <v>12</v>
      </c>
      <c r="K123" s="22">
        <v>11</v>
      </c>
      <c r="L123" s="58">
        <v>11</v>
      </c>
      <c r="M123" s="22">
        <v>11</v>
      </c>
      <c r="N123" s="22">
        <v>11</v>
      </c>
      <c r="O123" s="22">
        <v>11</v>
      </c>
      <c r="P123" s="22">
        <v>11</v>
      </c>
      <c r="Q123" s="22">
        <v>11</v>
      </c>
      <c r="R123" s="22">
        <v>14</v>
      </c>
      <c r="S123" s="22">
        <v>14</v>
      </c>
      <c r="T123" s="22">
        <v>14</v>
      </c>
      <c r="U123" s="22">
        <v>14</v>
      </c>
      <c r="V123" s="22">
        <v>14</v>
      </c>
      <c r="W123" s="22">
        <v>14</v>
      </c>
      <c r="X123" s="22">
        <v>14</v>
      </c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</row>
    <row r="124" spans="1:60" ht="24.75" customHeight="1">
      <c r="A124" s="1"/>
      <c r="B124" s="22" t="s">
        <v>127</v>
      </c>
      <c r="C124" s="22">
        <v>554</v>
      </c>
      <c r="D124" s="22">
        <v>1351</v>
      </c>
      <c r="E124" s="22">
        <v>1333</v>
      </c>
      <c r="F124" s="22">
        <v>838</v>
      </c>
      <c r="G124" s="22">
        <v>708</v>
      </c>
      <c r="H124" s="22">
        <v>165</v>
      </c>
      <c r="I124" s="22">
        <v>1059</v>
      </c>
      <c r="J124" s="22">
        <v>697</v>
      </c>
      <c r="K124" s="22">
        <v>568</v>
      </c>
      <c r="L124" s="58">
        <v>1161</v>
      </c>
      <c r="M124" s="22">
        <v>452</v>
      </c>
      <c r="N124" s="22">
        <v>654</v>
      </c>
      <c r="O124" s="22">
        <v>834</v>
      </c>
      <c r="P124" s="22">
        <v>1231</v>
      </c>
      <c r="Q124" s="22">
        <v>242</v>
      </c>
      <c r="R124" s="22">
        <v>681</v>
      </c>
      <c r="S124" s="22">
        <v>375</v>
      </c>
      <c r="T124" s="22">
        <v>322</v>
      </c>
      <c r="U124" s="22">
        <v>564</v>
      </c>
      <c r="V124" s="22">
        <v>427</v>
      </c>
      <c r="W124" s="22">
        <v>335</v>
      </c>
      <c r="X124" s="22">
        <v>740</v>
      </c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</row>
    <row r="125" spans="1:60" ht="24.75" customHeight="1">
      <c r="A125" s="1"/>
      <c r="B125" s="22" t="s">
        <v>128</v>
      </c>
      <c r="C125" s="22">
        <v>8341</v>
      </c>
      <c r="D125" s="22">
        <v>8149</v>
      </c>
      <c r="E125" s="22">
        <v>7582</v>
      </c>
      <c r="F125" s="22">
        <v>7424</v>
      </c>
      <c r="G125" s="22">
        <v>7385</v>
      </c>
      <c r="H125" s="22">
        <v>7456</v>
      </c>
      <c r="I125" s="22">
        <v>7576</v>
      </c>
      <c r="J125" s="22">
        <v>6718</v>
      </c>
      <c r="K125" s="22">
        <v>7071</v>
      </c>
      <c r="L125" s="58">
        <v>6825</v>
      </c>
      <c r="M125" s="22">
        <v>7303</v>
      </c>
      <c r="N125" s="22">
        <v>7129</v>
      </c>
      <c r="O125" s="22">
        <v>7497</v>
      </c>
      <c r="P125" s="22">
        <v>7643</v>
      </c>
      <c r="Q125" s="22">
        <v>7783</v>
      </c>
      <c r="R125" s="22">
        <v>7267</v>
      </c>
      <c r="S125" s="22">
        <v>7529</v>
      </c>
      <c r="T125" s="22">
        <v>6907</v>
      </c>
      <c r="U125" s="22">
        <v>6794</v>
      </c>
      <c r="V125" s="22">
        <v>6888</v>
      </c>
      <c r="W125" s="22">
        <v>7591</v>
      </c>
      <c r="X125" s="22">
        <v>7172</v>
      </c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</row>
    <row r="126" spans="1:60" ht="24.75" customHeight="1">
      <c r="A126" s="1"/>
      <c r="B126" s="22" t="s">
        <v>129</v>
      </c>
      <c r="C126" s="22">
        <v>2559</v>
      </c>
      <c r="D126" s="22">
        <v>3801</v>
      </c>
      <c r="E126" s="22">
        <v>3432</v>
      </c>
      <c r="F126" s="22">
        <v>2514</v>
      </c>
      <c r="G126" s="22">
        <v>3241</v>
      </c>
      <c r="H126" s="22">
        <v>3418</v>
      </c>
      <c r="I126" s="22">
        <v>3536</v>
      </c>
      <c r="J126" s="22">
        <v>1818</v>
      </c>
      <c r="K126" s="22">
        <v>4315</v>
      </c>
      <c r="L126" s="58">
        <v>2486</v>
      </c>
      <c r="M126" s="22">
        <v>2361</v>
      </c>
      <c r="N126" s="22">
        <v>2848</v>
      </c>
      <c r="O126" s="22">
        <v>4957</v>
      </c>
      <c r="P126" s="22">
        <v>4271</v>
      </c>
      <c r="Q126" s="22">
        <v>5224</v>
      </c>
      <c r="R126" s="22">
        <v>3376</v>
      </c>
      <c r="S126" s="22">
        <v>2778</v>
      </c>
      <c r="T126" s="22">
        <v>3825</v>
      </c>
      <c r="U126" s="22">
        <v>4419</v>
      </c>
      <c r="V126" s="22">
        <v>4234</v>
      </c>
      <c r="W126" s="22">
        <v>3096</v>
      </c>
      <c r="X126" s="22">
        <v>3176</v>
      </c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</row>
    <row r="127" spans="1:60" ht="24.75" customHeight="1">
      <c r="A127" s="1"/>
      <c r="B127" s="88" t="s">
        <v>130</v>
      </c>
      <c r="C127" s="22">
        <v>2993</v>
      </c>
      <c r="D127" s="22">
        <v>3097</v>
      </c>
      <c r="E127" s="22">
        <v>2942</v>
      </c>
      <c r="F127" s="22">
        <v>2802</v>
      </c>
      <c r="G127" s="22">
        <v>3323</v>
      </c>
      <c r="H127" s="22">
        <v>3169</v>
      </c>
      <c r="I127" s="22">
        <v>3253</v>
      </c>
      <c r="J127" s="22">
        <v>3052</v>
      </c>
      <c r="K127" s="22">
        <v>3029</v>
      </c>
      <c r="L127" s="58">
        <v>3543</v>
      </c>
      <c r="M127" s="22">
        <v>3540</v>
      </c>
      <c r="N127" s="22">
        <v>3712</v>
      </c>
      <c r="O127" s="22">
        <v>3601</v>
      </c>
      <c r="P127" s="22">
        <v>3555</v>
      </c>
      <c r="Q127" s="22">
        <v>3235</v>
      </c>
      <c r="R127" s="22">
        <v>3165</v>
      </c>
      <c r="S127" s="22">
        <v>2979</v>
      </c>
      <c r="T127" s="22">
        <v>3242</v>
      </c>
      <c r="U127" s="22">
        <v>3284</v>
      </c>
      <c r="V127" s="22">
        <v>3442</v>
      </c>
      <c r="W127" s="22">
        <v>4015</v>
      </c>
      <c r="X127" s="22">
        <v>3850</v>
      </c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</row>
    <row r="128" spans="1:60" ht="24.75" customHeight="1">
      <c r="A128" s="1"/>
      <c r="B128" s="88" t="s">
        <v>131</v>
      </c>
      <c r="C128" s="22">
        <v>5874</v>
      </c>
      <c r="D128" s="22">
        <v>5435</v>
      </c>
      <c r="E128" s="22">
        <v>4470</v>
      </c>
      <c r="F128" s="22">
        <v>4110</v>
      </c>
      <c r="G128" s="22">
        <v>4623</v>
      </c>
      <c r="H128" s="22">
        <v>5000</v>
      </c>
      <c r="I128" s="22">
        <v>5309</v>
      </c>
      <c r="J128" s="22">
        <v>4796</v>
      </c>
      <c r="K128" s="22">
        <v>5675</v>
      </c>
      <c r="L128" s="58">
        <v>5266</v>
      </c>
      <c r="M128" s="22">
        <v>5100</v>
      </c>
      <c r="N128" s="22">
        <v>6341</v>
      </c>
      <c r="O128" s="22">
        <v>7213</v>
      </c>
      <c r="P128" s="22">
        <v>5976</v>
      </c>
      <c r="Q128" s="22">
        <v>6395</v>
      </c>
      <c r="R128" s="22">
        <v>5009</v>
      </c>
      <c r="S128" s="22">
        <v>5352</v>
      </c>
      <c r="T128" s="22">
        <v>5025</v>
      </c>
      <c r="U128" s="22">
        <v>5952</v>
      </c>
      <c r="V128" s="22">
        <v>5517</v>
      </c>
      <c r="W128" s="22">
        <v>6286</v>
      </c>
      <c r="X128" s="22">
        <v>5875</v>
      </c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</row>
    <row r="129" spans="1:60" ht="24.75" customHeight="1">
      <c r="A129" s="1"/>
      <c r="B129" s="88" t="s">
        <v>132</v>
      </c>
      <c r="C129" s="22">
        <v>305</v>
      </c>
      <c r="D129" s="22">
        <v>296</v>
      </c>
      <c r="E129" s="22">
        <v>212</v>
      </c>
      <c r="F129" s="22">
        <v>144</v>
      </c>
      <c r="G129" s="22">
        <v>69</v>
      </c>
      <c r="H129" s="22">
        <v>96</v>
      </c>
      <c r="I129" s="22">
        <v>138</v>
      </c>
      <c r="J129" s="22">
        <v>185</v>
      </c>
      <c r="K129" s="22">
        <v>362</v>
      </c>
      <c r="L129" s="58">
        <v>199</v>
      </c>
      <c r="M129" s="22">
        <v>35</v>
      </c>
      <c r="N129" s="22">
        <v>170</v>
      </c>
      <c r="O129" s="22">
        <v>20</v>
      </c>
      <c r="P129" s="22">
        <v>124</v>
      </c>
      <c r="Q129" s="22">
        <v>23</v>
      </c>
      <c r="R129" s="22">
        <v>108</v>
      </c>
      <c r="S129" s="22">
        <v>32</v>
      </c>
      <c r="T129" s="22">
        <v>118</v>
      </c>
      <c r="U129" s="22">
        <v>99</v>
      </c>
      <c r="V129" s="22">
        <v>250</v>
      </c>
      <c r="W129" s="22">
        <v>1133</v>
      </c>
      <c r="X129" s="22">
        <v>255</v>
      </c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</row>
    <row r="130" spans="1:60" ht="24.75" customHeight="1">
      <c r="A130" s="1"/>
      <c r="B130" s="88" t="s">
        <v>133</v>
      </c>
      <c r="C130" s="22">
        <f>SUM(C123:C129)</f>
        <v>20652</v>
      </c>
      <c r="D130" s="22">
        <f t="shared" ref="D130:K130" si="67">SUM(D123:D129)</f>
        <v>22152</v>
      </c>
      <c r="E130" s="22">
        <f t="shared" si="67"/>
        <v>19991</v>
      </c>
      <c r="F130" s="22">
        <f t="shared" si="67"/>
        <v>17849</v>
      </c>
      <c r="G130" s="22">
        <f t="shared" si="67"/>
        <v>19364</v>
      </c>
      <c r="H130" s="22">
        <f t="shared" si="67"/>
        <v>19318</v>
      </c>
      <c r="I130" s="22">
        <f t="shared" si="67"/>
        <v>20885</v>
      </c>
      <c r="J130" s="22">
        <f t="shared" si="67"/>
        <v>17278</v>
      </c>
      <c r="K130" s="22">
        <f t="shared" si="67"/>
        <v>21031</v>
      </c>
      <c r="L130" s="58">
        <f>SUM(L123:L129)</f>
        <v>19491</v>
      </c>
      <c r="M130" s="58">
        <f>SUM(M123:M129)</f>
        <v>18802</v>
      </c>
      <c r="N130" s="22">
        <f>SUM(N123:N129)</f>
        <v>20865</v>
      </c>
      <c r="O130" s="22">
        <f t="shared" ref="O130:X130" si="68">SUM(O123:O129)</f>
        <v>24133</v>
      </c>
      <c r="P130" s="22">
        <f t="shared" si="68"/>
        <v>22811</v>
      </c>
      <c r="Q130" s="22">
        <f t="shared" si="68"/>
        <v>22913</v>
      </c>
      <c r="R130" s="22">
        <f t="shared" si="68"/>
        <v>19620</v>
      </c>
      <c r="S130" s="22">
        <f t="shared" si="68"/>
        <v>19059</v>
      </c>
      <c r="T130" s="22">
        <f t="shared" si="68"/>
        <v>19453</v>
      </c>
      <c r="U130" s="22">
        <f t="shared" si="68"/>
        <v>21126</v>
      </c>
      <c r="V130" s="22">
        <f t="shared" si="68"/>
        <v>20772</v>
      </c>
      <c r="W130" s="22">
        <f t="shared" si="68"/>
        <v>22470</v>
      </c>
      <c r="X130" s="22">
        <f t="shared" si="68"/>
        <v>21082</v>
      </c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</row>
    <row r="131" spans="1:60" ht="24.75" customHeight="1">
      <c r="A131" s="1"/>
      <c r="B131" s="22" t="s">
        <v>134</v>
      </c>
      <c r="C131" s="89"/>
      <c r="D131" s="89">
        <f t="shared" ref="D131:X131" si="69">D8/((D130+C130)/2)</f>
        <v>0.66755443416503135</v>
      </c>
      <c r="E131" s="89">
        <f t="shared" si="69"/>
        <v>0.6234961915383338</v>
      </c>
      <c r="F131" s="89">
        <f t="shared" si="69"/>
        <v>0.64281183932346719</v>
      </c>
      <c r="G131" s="89">
        <f t="shared" si="69"/>
        <v>0.41367264128127268</v>
      </c>
      <c r="H131" s="89">
        <f t="shared" si="69"/>
        <v>0.53497750891887697</v>
      </c>
      <c r="I131" s="89">
        <f t="shared" si="69"/>
        <v>0.56682337139019479</v>
      </c>
      <c r="J131" s="89">
        <f t="shared" si="69"/>
        <v>0.87949060608442731</v>
      </c>
      <c r="K131" s="89">
        <f t="shared" si="69"/>
        <v>0.55428228353650577</v>
      </c>
      <c r="L131" s="90">
        <f t="shared" si="69"/>
        <v>0.76871822713587679</v>
      </c>
      <c r="M131" s="89">
        <f t="shared" si="69"/>
        <v>0.66168751468936882</v>
      </c>
      <c r="N131" s="89">
        <f t="shared" si="69"/>
        <v>0.70950664280132103</v>
      </c>
      <c r="O131" s="89">
        <f t="shared" si="69"/>
        <v>0.66065158451486727</v>
      </c>
      <c r="P131" s="89">
        <f t="shared" si="69"/>
        <v>0.8246421267893661</v>
      </c>
      <c r="Q131" s="89">
        <f t="shared" si="69"/>
        <v>0.64893710086606593</v>
      </c>
      <c r="R131" s="89">
        <f t="shared" si="69"/>
        <v>0.90400394987421528</v>
      </c>
      <c r="S131" s="89">
        <f t="shared" si="69"/>
        <v>0.61816489567982624</v>
      </c>
      <c r="T131" s="89">
        <f t="shared" si="69"/>
        <v>0.60521395928541755</v>
      </c>
      <c r="U131" s="89">
        <f t="shared" si="69"/>
        <v>0.68104191823356908</v>
      </c>
      <c r="V131" s="89">
        <f t="shared" si="69"/>
        <v>0.95665664232182923</v>
      </c>
      <c r="W131" s="89">
        <f t="shared" si="69"/>
        <v>0.65556634753249154</v>
      </c>
      <c r="X131" s="89">
        <f t="shared" si="69"/>
        <v>0.68226487876561348</v>
      </c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</row>
    <row r="132" spans="1:60" ht="24.75" customHeight="1">
      <c r="A132" s="1"/>
      <c r="B132" s="1"/>
      <c r="C132" s="5"/>
      <c r="D132" s="5"/>
      <c r="E132" s="5"/>
      <c r="F132" s="5"/>
      <c r="G132" s="5"/>
      <c r="H132" s="5"/>
      <c r="I132" s="5"/>
      <c r="J132" s="5"/>
      <c r="K132" s="5"/>
      <c r="L132" s="61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</row>
    <row r="133" spans="1:60" ht="24.75" customHeight="1">
      <c r="A133" s="1"/>
      <c r="B133" s="1" t="s">
        <v>135</v>
      </c>
      <c r="C133" s="91"/>
      <c r="D133" s="91"/>
      <c r="E133" s="91"/>
      <c r="F133" s="91"/>
      <c r="G133" s="91"/>
      <c r="H133" s="91"/>
      <c r="I133" s="91"/>
      <c r="J133" s="91"/>
      <c r="K133" s="91"/>
      <c r="L133" s="92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</row>
    <row r="134" spans="1:60" ht="24.75" customHeight="1" thickBot="1">
      <c r="A134" s="1"/>
      <c r="B134" s="14" t="s">
        <v>135</v>
      </c>
      <c r="C134" s="15" t="s">
        <v>0</v>
      </c>
      <c r="D134" s="15" t="s">
        <v>1</v>
      </c>
      <c r="E134" s="15" t="s">
        <v>2</v>
      </c>
      <c r="F134" s="15" t="s">
        <v>3</v>
      </c>
      <c r="G134" s="15" t="s">
        <v>4</v>
      </c>
      <c r="H134" s="15" t="s">
        <v>5</v>
      </c>
      <c r="I134" s="15" t="s">
        <v>6</v>
      </c>
      <c r="J134" s="15" t="s">
        <v>7</v>
      </c>
      <c r="K134" s="15" t="s">
        <v>8</v>
      </c>
      <c r="L134" s="17" t="s">
        <v>9</v>
      </c>
      <c r="M134" s="15" t="s">
        <v>10</v>
      </c>
      <c r="N134" s="15" t="s">
        <v>11</v>
      </c>
      <c r="O134" s="15" t="s">
        <v>12</v>
      </c>
      <c r="P134" s="15" t="s">
        <v>13</v>
      </c>
      <c r="Q134" s="15" t="s">
        <v>14</v>
      </c>
      <c r="R134" s="15" t="s">
        <v>15</v>
      </c>
      <c r="S134" s="15" t="s">
        <v>16</v>
      </c>
      <c r="T134" s="15" t="s">
        <v>17</v>
      </c>
      <c r="U134" s="15" t="s">
        <v>18</v>
      </c>
      <c r="V134" s="15" t="s">
        <v>19</v>
      </c>
      <c r="W134" s="15" t="s">
        <v>20</v>
      </c>
      <c r="X134" s="15" t="s">
        <v>21</v>
      </c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</row>
    <row r="135" spans="1:60" ht="24.75" customHeight="1" thickTop="1">
      <c r="A135" s="1"/>
      <c r="B135" s="22" t="s">
        <v>136</v>
      </c>
      <c r="C135" s="22">
        <v>12897</v>
      </c>
      <c r="D135" s="22">
        <v>15136</v>
      </c>
      <c r="E135" s="22">
        <v>13370</v>
      </c>
      <c r="F135" s="22">
        <v>14252</v>
      </c>
      <c r="G135" s="22">
        <v>8477</v>
      </c>
      <c r="H135" s="22">
        <v>11412</v>
      </c>
      <c r="I135" s="22">
        <v>12844</v>
      </c>
      <c r="J135" s="93">
        <v>19470</v>
      </c>
      <c r="K135" s="93">
        <v>16456</v>
      </c>
      <c r="L135" s="94">
        <v>17389</v>
      </c>
      <c r="M135" s="93">
        <v>15307</v>
      </c>
      <c r="N135" s="93">
        <v>11702</v>
      </c>
      <c r="O135" s="93">
        <v>16209</v>
      </c>
      <c r="P135" s="93">
        <v>19057</v>
      </c>
      <c r="Q135" s="93">
        <v>14920</v>
      </c>
      <c r="R135" s="93">
        <v>15393</v>
      </c>
      <c r="S135" s="93">
        <v>10376</v>
      </c>
      <c r="T135" s="93">
        <v>12682</v>
      </c>
      <c r="U135" s="93">
        <v>13753</v>
      </c>
      <c r="V135" s="95">
        <v>16144</v>
      </c>
      <c r="W135" s="93">
        <v>12655</v>
      </c>
      <c r="X135" s="11">
        <v>14806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</row>
    <row r="136" spans="1:60" ht="24.75" customHeight="1">
      <c r="A136" s="1"/>
      <c r="B136" s="41" t="s">
        <v>137</v>
      </c>
      <c r="C136" s="41">
        <v>128</v>
      </c>
      <c r="D136" s="41">
        <v>151</v>
      </c>
      <c r="E136" s="41">
        <v>133</v>
      </c>
      <c r="F136" s="41">
        <v>142</v>
      </c>
      <c r="G136" s="41">
        <v>84</v>
      </c>
      <c r="H136" s="41">
        <v>114</v>
      </c>
      <c r="I136" s="41">
        <v>128</v>
      </c>
      <c r="J136" s="76">
        <v>194</v>
      </c>
      <c r="K136" s="76">
        <v>164</v>
      </c>
      <c r="L136" s="80">
        <v>173</v>
      </c>
      <c r="M136" s="76">
        <v>153</v>
      </c>
      <c r="N136" s="76">
        <v>117</v>
      </c>
      <c r="O136" s="76">
        <v>162</v>
      </c>
      <c r="P136" s="76">
        <v>190</v>
      </c>
      <c r="Q136" s="76">
        <v>149</v>
      </c>
      <c r="R136" s="76">
        <v>153</v>
      </c>
      <c r="S136" s="76">
        <v>103</v>
      </c>
      <c r="T136" s="76">
        <v>126</v>
      </c>
      <c r="U136" s="76">
        <v>137</v>
      </c>
      <c r="V136" s="76">
        <v>161</v>
      </c>
      <c r="W136" s="76">
        <v>126</v>
      </c>
      <c r="X136" s="11">
        <v>109</v>
      </c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</row>
    <row r="137" spans="1:60" ht="24.75" customHeight="1">
      <c r="A137" s="1"/>
      <c r="B137" s="11" t="s">
        <v>135</v>
      </c>
      <c r="C137" s="11">
        <f>C135-C136</f>
        <v>12769</v>
      </c>
      <c r="D137" s="11">
        <f t="shared" ref="D137:X137" si="70">D135-D136</f>
        <v>14985</v>
      </c>
      <c r="E137" s="11">
        <f t="shared" si="70"/>
        <v>13237</v>
      </c>
      <c r="F137" s="11">
        <f t="shared" si="70"/>
        <v>14110</v>
      </c>
      <c r="G137" s="11">
        <f t="shared" si="70"/>
        <v>8393</v>
      </c>
      <c r="H137" s="11">
        <f t="shared" si="70"/>
        <v>11298</v>
      </c>
      <c r="I137" s="11">
        <f t="shared" si="70"/>
        <v>12716</v>
      </c>
      <c r="J137" s="93">
        <f t="shared" si="70"/>
        <v>19276</v>
      </c>
      <c r="K137" s="93">
        <f t="shared" si="70"/>
        <v>16292</v>
      </c>
      <c r="L137" s="93">
        <f t="shared" si="70"/>
        <v>17216</v>
      </c>
      <c r="M137" s="93">
        <f t="shared" si="70"/>
        <v>15154</v>
      </c>
      <c r="N137" s="93">
        <f t="shared" si="70"/>
        <v>11585</v>
      </c>
      <c r="O137" s="93">
        <f t="shared" si="70"/>
        <v>16047</v>
      </c>
      <c r="P137" s="93">
        <f t="shared" si="70"/>
        <v>18867</v>
      </c>
      <c r="Q137" s="93">
        <f t="shared" si="70"/>
        <v>14771</v>
      </c>
      <c r="R137" s="93">
        <f t="shared" si="70"/>
        <v>15240</v>
      </c>
      <c r="S137" s="93">
        <f t="shared" si="70"/>
        <v>10273</v>
      </c>
      <c r="T137" s="93">
        <f t="shared" si="70"/>
        <v>12556</v>
      </c>
      <c r="U137" s="93">
        <f t="shared" si="70"/>
        <v>13616</v>
      </c>
      <c r="V137" s="93">
        <f t="shared" si="70"/>
        <v>15983</v>
      </c>
      <c r="W137" s="93">
        <f t="shared" si="70"/>
        <v>12529</v>
      </c>
      <c r="X137" s="93">
        <f t="shared" si="70"/>
        <v>14697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</row>
    <row r="138" spans="1:60" ht="24.75" customHeight="1">
      <c r="A138" s="1"/>
      <c r="B138" s="11" t="s">
        <v>138</v>
      </c>
      <c r="C138" s="13">
        <f>C136/C135</f>
        <v>9.9247887105528409E-3</v>
      </c>
      <c r="D138" s="13">
        <f t="shared" ref="D138:W138" si="71">D136/D135</f>
        <v>9.9762156448202962E-3</v>
      </c>
      <c r="E138" s="13">
        <f t="shared" si="71"/>
        <v>9.947643979057591E-3</v>
      </c>
      <c r="F138" s="13">
        <f t="shared" si="71"/>
        <v>9.9635138927869765E-3</v>
      </c>
      <c r="G138" s="13">
        <f t="shared" si="71"/>
        <v>9.9091659785301399E-3</v>
      </c>
      <c r="H138" s="13">
        <f t="shared" si="71"/>
        <v>9.9894847528916933E-3</v>
      </c>
      <c r="I138" s="13">
        <f t="shared" si="71"/>
        <v>9.9657427592650272E-3</v>
      </c>
      <c r="J138" s="13">
        <f t="shared" si="71"/>
        <v>9.964047252182846E-3</v>
      </c>
      <c r="K138" s="13">
        <f t="shared" si="71"/>
        <v>9.9659698590179868E-3</v>
      </c>
      <c r="L138" s="13">
        <f t="shared" si="71"/>
        <v>9.9488182184139396E-3</v>
      </c>
      <c r="M138" s="13">
        <f t="shared" si="71"/>
        <v>9.9954269288560788E-3</v>
      </c>
      <c r="N138" s="13">
        <f t="shared" si="71"/>
        <v>9.9982908904460779E-3</v>
      </c>
      <c r="O138" s="13">
        <f t="shared" si="71"/>
        <v>9.9944475291504718E-3</v>
      </c>
      <c r="P138" s="13">
        <f t="shared" si="71"/>
        <v>9.9700897308075773E-3</v>
      </c>
      <c r="Q138" s="13">
        <f t="shared" si="71"/>
        <v>9.9865951742627353E-3</v>
      </c>
      <c r="R138" s="13">
        <f t="shared" si="71"/>
        <v>9.9395829273046191E-3</v>
      </c>
      <c r="S138" s="13">
        <f t="shared" si="71"/>
        <v>9.9267540478026207E-3</v>
      </c>
      <c r="T138" s="13">
        <f t="shared" si="71"/>
        <v>9.9353414287967189E-3</v>
      </c>
      <c r="U138" s="13">
        <f t="shared" si="71"/>
        <v>9.9614629535374095E-3</v>
      </c>
      <c r="V138" s="13">
        <f t="shared" si="71"/>
        <v>9.9727452923686812E-3</v>
      </c>
      <c r="W138" s="13">
        <f t="shared" si="71"/>
        <v>9.9565389174239433E-3</v>
      </c>
      <c r="X138" s="13">
        <f>X136/X135</f>
        <v>7.3618803187896799E-3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</row>
    <row r="139" spans="1:60" ht="24.75" customHeight="1">
      <c r="A139" s="1"/>
      <c r="B139" s="11" t="s">
        <v>139</v>
      </c>
      <c r="C139" s="96"/>
      <c r="D139" s="96">
        <f t="shared" ref="D139:X139" si="72">D6/((D137+C137)/2)</f>
        <v>1.5009007710600273</v>
      </c>
      <c r="E139" s="96">
        <f t="shared" si="72"/>
        <v>1.2506555169725746</v>
      </c>
      <c r="F139" s="96">
        <f t="shared" si="72"/>
        <v>1.2106629612023256</v>
      </c>
      <c r="G139" s="96">
        <f t="shared" si="72"/>
        <v>0.94414078122916945</v>
      </c>
      <c r="H139" s="96">
        <f t="shared" si="72"/>
        <v>1.4234929663297953</v>
      </c>
      <c r="I139" s="96">
        <f t="shared" si="72"/>
        <v>1.4358290996918464</v>
      </c>
      <c r="J139" s="96">
        <f t="shared" si="72"/>
        <v>1.5024381095273818</v>
      </c>
      <c r="K139" s="96">
        <f t="shared" si="72"/>
        <v>0.82950967161493472</v>
      </c>
      <c r="L139" s="96">
        <f t="shared" si="72"/>
        <v>1.3393219529664557</v>
      </c>
      <c r="M139" s="96">
        <f t="shared" si="72"/>
        <v>1.1508804448563486</v>
      </c>
      <c r="N139" s="96">
        <f t="shared" si="72"/>
        <v>1.4339354500916264</v>
      </c>
      <c r="O139" s="96">
        <f t="shared" si="72"/>
        <v>1.3839027214823394</v>
      </c>
      <c r="P139" s="96">
        <f t="shared" si="72"/>
        <v>1.4759122415077046</v>
      </c>
      <c r="Q139" s="96">
        <f t="shared" si="72"/>
        <v>1.2420476841667163</v>
      </c>
      <c r="R139" s="96">
        <f t="shared" si="72"/>
        <v>1.6704541668055046</v>
      </c>
      <c r="S139" s="96">
        <f t="shared" si="72"/>
        <v>1.2247873633049817</v>
      </c>
      <c r="T139" s="96">
        <f t="shared" si="72"/>
        <v>1.47584213062333</v>
      </c>
      <c r="U139" s="96">
        <f t="shared" si="72"/>
        <v>1.4440623567171023</v>
      </c>
      <c r="V139" s="96">
        <f t="shared" si="72"/>
        <v>1.8497246528598938</v>
      </c>
      <c r="W139" s="96">
        <f t="shared" si="72"/>
        <v>1.2669051627384962</v>
      </c>
      <c r="X139" s="96">
        <f t="shared" si="72"/>
        <v>1.5650481157716889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</row>
    <row r="140" spans="1:60" ht="24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2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</row>
    <row r="141" spans="1:60" ht="24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2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</row>
    <row r="142" spans="1:60" ht="24.75" customHeight="1">
      <c r="A142" s="1"/>
      <c r="B142" s="1" t="s">
        <v>140</v>
      </c>
      <c r="C142" s="1"/>
      <c r="D142" s="1"/>
      <c r="E142" s="1"/>
      <c r="F142" s="1"/>
      <c r="G142" s="1"/>
      <c r="H142" s="1"/>
      <c r="I142" s="1"/>
      <c r="J142" s="1"/>
      <c r="K142" s="1"/>
      <c r="L142" s="2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</row>
    <row r="143" spans="1:60" ht="24.75" customHeight="1" thickBot="1">
      <c r="A143" s="1"/>
      <c r="B143" s="14" t="s">
        <v>141</v>
      </c>
      <c r="C143" s="15" t="s">
        <v>0</v>
      </c>
      <c r="D143" s="15" t="s">
        <v>1</v>
      </c>
      <c r="E143" s="15" t="s">
        <v>2</v>
      </c>
      <c r="F143" s="15" t="s">
        <v>3</v>
      </c>
      <c r="G143" s="15" t="s">
        <v>4</v>
      </c>
      <c r="H143" s="15" t="s">
        <v>5</v>
      </c>
      <c r="I143" s="15" t="s">
        <v>6</v>
      </c>
      <c r="J143" s="15" t="s">
        <v>7</v>
      </c>
      <c r="K143" s="15" t="s">
        <v>8</v>
      </c>
      <c r="L143" s="17" t="s">
        <v>9</v>
      </c>
      <c r="M143" s="15" t="s">
        <v>10</v>
      </c>
      <c r="N143" s="15" t="s">
        <v>11</v>
      </c>
      <c r="O143" s="15" t="s">
        <v>12</v>
      </c>
      <c r="P143" s="15" t="s">
        <v>13</v>
      </c>
      <c r="Q143" s="15" t="s">
        <v>14</v>
      </c>
      <c r="R143" s="15" t="s">
        <v>15</v>
      </c>
      <c r="S143" s="15" t="s">
        <v>16</v>
      </c>
      <c r="T143" s="15" t="s">
        <v>17</v>
      </c>
      <c r="U143" s="15" t="s">
        <v>18</v>
      </c>
      <c r="V143" s="15" t="s">
        <v>19</v>
      </c>
      <c r="W143" s="15" t="s">
        <v>20</v>
      </c>
      <c r="X143" s="15" t="s">
        <v>21</v>
      </c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</row>
    <row r="144" spans="1:60" ht="24.75" customHeight="1" thickTop="1">
      <c r="A144" s="1"/>
      <c r="B144" s="11" t="s">
        <v>140</v>
      </c>
      <c r="C144" s="11">
        <v>173</v>
      </c>
      <c r="D144" s="11">
        <f>367-C144</f>
        <v>194</v>
      </c>
      <c r="E144" s="11">
        <f>515-D144-C144</f>
        <v>148</v>
      </c>
      <c r="F144" s="11">
        <f>794-E144-D144-C144</f>
        <v>279</v>
      </c>
      <c r="G144" s="11">
        <v>180</v>
      </c>
      <c r="H144" s="11">
        <f>408-G144</f>
        <v>228</v>
      </c>
      <c r="I144" s="11">
        <f>590-H144-G144</f>
        <v>182</v>
      </c>
      <c r="J144" s="11">
        <f>929-I144-H144-G144</f>
        <v>339</v>
      </c>
      <c r="K144" s="11">
        <v>145</v>
      </c>
      <c r="L144" s="54">
        <f>338-K144</f>
        <v>193</v>
      </c>
      <c r="M144" s="11">
        <f>510-L144-K144</f>
        <v>172</v>
      </c>
      <c r="N144" s="11">
        <f>841-M144-L144-K144</f>
        <v>331</v>
      </c>
      <c r="O144" s="11">
        <v>166</v>
      </c>
      <c r="P144" s="11">
        <f>387-O144</f>
        <v>221</v>
      </c>
      <c r="Q144" s="11">
        <f>570-P144-O144</f>
        <v>183</v>
      </c>
      <c r="R144" s="11">
        <f>1023-Q144-P144-O144</f>
        <v>453</v>
      </c>
      <c r="S144" s="11">
        <v>231</v>
      </c>
      <c r="T144" s="11">
        <f>545-S144</f>
        <v>314</v>
      </c>
      <c r="U144" s="11">
        <f>637-T144-S144</f>
        <v>92</v>
      </c>
      <c r="V144" s="11">
        <f>1059-U144-T144-S144</f>
        <v>422</v>
      </c>
      <c r="W144" s="11">
        <v>185</v>
      </c>
      <c r="X144" s="11">
        <f>419-W144</f>
        <v>234</v>
      </c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</row>
    <row r="145" spans="1:60" ht="24.75" customHeight="1">
      <c r="A145" s="1"/>
      <c r="B145" s="11" t="s">
        <v>142</v>
      </c>
      <c r="C145" s="97">
        <f t="shared" ref="C145:X145" si="73">C144/C6</f>
        <v>1.5966774342408861E-2</v>
      </c>
      <c r="D145" s="97">
        <f t="shared" si="73"/>
        <v>9.3143844824275009E-3</v>
      </c>
      <c r="E145" s="97">
        <f t="shared" si="73"/>
        <v>8.3862194016319138E-3</v>
      </c>
      <c r="F145" s="97">
        <f t="shared" si="73"/>
        <v>1.6853932584269662E-2</v>
      </c>
      <c r="G145" s="97">
        <f t="shared" si="73"/>
        <v>1.6944365998305563E-2</v>
      </c>
      <c r="H145" s="97">
        <f t="shared" si="73"/>
        <v>1.6268283981448448E-2</v>
      </c>
      <c r="I145" s="97">
        <f t="shared" si="73"/>
        <v>1.0556844547563804E-2</v>
      </c>
      <c r="J145" s="97">
        <f t="shared" si="73"/>
        <v>1.4105604793409063E-2</v>
      </c>
      <c r="K145" s="97">
        <f t="shared" si="73"/>
        <v>9.8291757049891546E-3</v>
      </c>
      <c r="L145" s="97">
        <f t="shared" si="73"/>
        <v>8.6010963055394626E-3</v>
      </c>
      <c r="M145" s="97">
        <f t="shared" si="73"/>
        <v>9.2339077682933382E-3</v>
      </c>
      <c r="N145" s="97">
        <f t="shared" si="73"/>
        <v>1.7265661676490532E-2</v>
      </c>
      <c r="O145" s="97">
        <f t="shared" si="73"/>
        <v>8.6820083682008376E-3</v>
      </c>
      <c r="P145" s="97">
        <f t="shared" si="73"/>
        <v>8.5775276537939059E-3</v>
      </c>
      <c r="Q145" s="97">
        <f t="shared" si="73"/>
        <v>8.7601723312589752E-3</v>
      </c>
      <c r="R145" s="97">
        <f t="shared" si="73"/>
        <v>1.8072289156626505E-2</v>
      </c>
      <c r="S145" s="97">
        <f t="shared" si="73"/>
        <v>1.4784946236559141E-2</v>
      </c>
      <c r="T145" s="97">
        <f t="shared" si="73"/>
        <v>1.8639439629585659E-2</v>
      </c>
      <c r="U145" s="97">
        <f t="shared" si="73"/>
        <v>4.8684976451288569E-3</v>
      </c>
      <c r="V145" s="97">
        <f t="shared" si="73"/>
        <v>1.5415525114155251E-2</v>
      </c>
      <c r="W145" s="97">
        <f t="shared" si="73"/>
        <v>1.0243065168041637E-2</v>
      </c>
      <c r="X145" s="97">
        <f t="shared" si="73"/>
        <v>1.0983337244778221E-2</v>
      </c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</row>
    <row r="146" spans="1:60" ht="24.75" customHeight="1">
      <c r="A146" s="1"/>
      <c r="B146" s="11" t="s">
        <v>142</v>
      </c>
      <c r="C146" s="13">
        <v>1.6E-2</v>
      </c>
      <c r="D146" s="13">
        <v>1.2E-2</v>
      </c>
      <c r="E146" s="13">
        <v>0.01</v>
      </c>
      <c r="F146" s="13">
        <v>1.2E-2</v>
      </c>
      <c r="G146" s="13">
        <v>1.7000000000000001E-2</v>
      </c>
      <c r="H146" s="13">
        <v>1.7000000000000001E-2</v>
      </c>
      <c r="I146" s="13">
        <v>1.4E-2</v>
      </c>
      <c r="J146" s="13">
        <v>1.4E-2</v>
      </c>
      <c r="K146" s="13">
        <v>0.01</v>
      </c>
      <c r="L146" s="98">
        <v>8.9999999999999993E-3</v>
      </c>
      <c r="M146" s="13">
        <v>8.9999999999999993E-3</v>
      </c>
      <c r="N146" s="13">
        <v>1.0999999999999999E-2</v>
      </c>
      <c r="O146" s="13">
        <v>8.9999999999999993E-3</v>
      </c>
      <c r="P146" s="13">
        <v>8.9999999999999993E-3</v>
      </c>
      <c r="Q146" s="13">
        <v>8.9999999999999993E-3</v>
      </c>
      <c r="R146" s="13">
        <v>1.0999999999999999E-2</v>
      </c>
      <c r="S146" s="13">
        <v>1.4999999999999999E-2</v>
      </c>
      <c r="T146" s="13">
        <v>1.7000000000000001E-2</v>
      </c>
      <c r="U146" s="13">
        <v>1.2E-2</v>
      </c>
      <c r="V146" s="13">
        <v>1.2999999999999999E-2</v>
      </c>
      <c r="W146" s="13">
        <v>0.01</v>
      </c>
      <c r="X146" s="13">
        <v>1.0999999999999999E-2</v>
      </c>
      <c r="Y146" s="5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</row>
    <row r="147" spans="1:60" ht="24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2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5"/>
      <c r="Y147" s="5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</row>
    <row r="148" spans="1:60" ht="24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2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5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</row>
    <row r="149" spans="1:60" ht="24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2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</row>
    <row r="150" spans="1:60" ht="24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2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</row>
    <row r="151" spans="1:60" ht="24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2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</row>
    <row r="152" spans="1:60" ht="24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2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</row>
    <row r="153" spans="1:60" ht="24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2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</row>
    <row r="154" spans="1:60" ht="24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2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</row>
    <row r="155" spans="1:60" ht="24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2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</row>
    <row r="156" spans="1:60" ht="24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2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</row>
    <row r="157" spans="1:60" ht="24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2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</row>
    <row r="158" spans="1:60" ht="24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2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</row>
    <row r="159" spans="1:60" ht="24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2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</row>
    <row r="160" spans="1:60" ht="24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2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</row>
    <row r="161" spans="1:60" ht="24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2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</row>
    <row r="162" spans="1:60" ht="24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2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</row>
    <row r="163" spans="1:60" ht="24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2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</row>
    <row r="164" spans="1:60" ht="24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2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</row>
    <row r="165" spans="1:60" ht="24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2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</row>
    <row r="166" spans="1:60" ht="24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2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</row>
    <row r="167" spans="1:60" ht="24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2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</row>
    <row r="168" spans="1:60" ht="24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2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</row>
    <row r="169" spans="1:60" ht="24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2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</row>
    <row r="170" spans="1:60" ht="24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2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</row>
    <row r="171" spans="1:60" ht="24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2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</row>
    <row r="172" spans="1:60" ht="24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2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</row>
    <row r="173" spans="1:60" ht="24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2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</row>
    <row r="174" spans="1:60" ht="24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2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</row>
    <row r="175" spans="1:60" ht="24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2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</row>
    <row r="176" spans="1:60" ht="24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2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</row>
    <row r="177" spans="1:60" ht="24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2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</row>
    <row r="178" spans="1:60" ht="24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2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</row>
    <row r="179" spans="1:60" ht="24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2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</row>
    <row r="180" spans="1:60" ht="24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2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</row>
    <row r="181" spans="1:60" ht="24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2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</row>
    <row r="182" spans="1:60" ht="24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2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</row>
    <row r="183" spans="1:60" ht="24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2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</row>
    <row r="184" spans="1:60" ht="24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2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</row>
    <row r="185" spans="1:60" ht="24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2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</row>
    <row r="186" spans="1:60" ht="24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2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</row>
    <row r="187" spans="1:60" ht="24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2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</row>
    <row r="188" spans="1:60" ht="24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2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</row>
    <row r="189" spans="1:60" ht="24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2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</row>
    <row r="190" spans="1:60" ht="24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2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</row>
    <row r="191" spans="1:60" ht="24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2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2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</row>
    <row r="192" spans="1:60" ht="24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2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</row>
    <row r="193" spans="1:60" ht="24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2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</row>
    <row r="194" spans="1:60" ht="24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2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</row>
    <row r="195" spans="1:60" ht="24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2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</row>
    <row r="196" spans="1:60" ht="24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2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</row>
    <row r="197" spans="1:60" ht="24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2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</row>
    <row r="198" spans="1:60" ht="24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2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</row>
    <row r="199" spans="1:60" ht="24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2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</row>
    <row r="200" spans="1:60" ht="24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2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</row>
    <row r="201" spans="1:60" ht="24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2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</row>
    <row r="202" spans="1:60" ht="24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2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</row>
    <row r="203" spans="1:60" ht="24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2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</row>
    <row r="204" spans="1:60" ht="24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2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</row>
    <row r="205" spans="1:60" ht="24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2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</row>
    <row r="206" spans="1:60" ht="24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2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</row>
    <row r="207" spans="1:60" ht="24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2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</row>
    <row r="208" spans="1:60" ht="24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2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</row>
    <row r="209" spans="1:60" ht="24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2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</row>
    <row r="210" spans="1:60" ht="24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2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</row>
    <row r="211" spans="1:60" ht="24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2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</row>
    <row r="212" spans="1:60" ht="24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2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</row>
    <row r="213" spans="1:60" ht="24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2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</row>
    <row r="214" spans="1:60" ht="24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2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</row>
    <row r="215" spans="1:60" ht="24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2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</row>
    <row r="216" spans="1:60" ht="24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2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</row>
    <row r="217" spans="1:60" ht="24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2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</row>
    <row r="218" spans="1:60" ht="24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2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</row>
    <row r="219" spans="1:60" ht="24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2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</row>
    <row r="220" spans="1:60" ht="24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2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</row>
    <row r="221" spans="1:60" ht="24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2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</row>
    <row r="222" spans="1:60" ht="24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2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</row>
    <row r="223" spans="1:60" ht="24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2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</row>
    <row r="224" spans="1:60" ht="24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2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</row>
    <row r="225" spans="1:60" ht="24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2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</row>
    <row r="226" spans="1:60" ht="24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2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</row>
    <row r="227" spans="1:60" ht="24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2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</row>
    <row r="228" spans="1:60" ht="24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2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</row>
    <row r="229" spans="1:60" ht="24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2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</row>
    <row r="230" spans="1:60" ht="24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2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</row>
    <row r="231" spans="1:60" ht="24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2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</row>
    <row r="232" spans="1:60" ht="24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2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</row>
    <row r="233" spans="1:60" ht="24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2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</row>
    <row r="234" spans="1:60" ht="24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2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</row>
    <row r="235" spans="1:60" ht="24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2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</row>
    <row r="236" spans="1:60" ht="24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2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</row>
    <row r="237" spans="1:60" ht="24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2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</row>
    <row r="238" spans="1:60" ht="24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2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</row>
    <row r="239" spans="1:60" ht="24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2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</row>
    <row r="240" spans="1:60" ht="24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2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</row>
    <row r="241" spans="1:60" ht="24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2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</row>
    <row r="242" spans="1:60" ht="24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2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</row>
    <row r="243" spans="1:60" ht="24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2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</row>
    <row r="244" spans="1:60" ht="24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2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</row>
    <row r="245" spans="1:60" ht="24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2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</row>
    <row r="246" spans="1:60" ht="24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2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</row>
    <row r="247" spans="1:60" ht="24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2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</row>
    <row r="248" spans="1:60" ht="24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2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</row>
    <row r="249" spans="1:60" ht="24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2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</row>
    <row r="250" spans="1:60" ht="24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2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</row>
    <row r="251" spans="1:60" ht="24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2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</row>
    <row r="252" spans="1:60" ht="24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2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</row>
    <row r="253" spans="1:60" ht="24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2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</row>
    <row r="254" spans="1:60" ht="24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2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</row>
    <row r="255" spans="1:60" ht="24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2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</row>
    <row r="256" spans="1:60" ht="24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2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</row>
    <row r="257" spans="1:60" ht="24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2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</row>
    <row r="258" spans="1:60" ht="24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2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</row>
    <row r="259" spans="1:60" ht="24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2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</row>
    <row r="260" spans="1:60" ht="24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2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</row>
    <row r="261" spans="1:60" ht="24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2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</row>
    <row r="262" spans="1:60" ht="24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2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</row>
    <row r="263" spans="1:60" ht="24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2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</row>
    <row r="264" spans="1:60" ht="24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2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</row>
    <row r="265" spans="1:60" ht="24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2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</row>
    <row r="266" spans="1:60" ht="24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2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</row>
    <row r="267" spans="1:60" ht="24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2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</row>
    <row r="268" spans="1:60" ht="24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2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</row>
    <row r="269" spans="1:60" ht="24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2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</row>
    <row r="270" spans="1:60" ht="24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2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</row>
    <row r="271" spans="1:60" ht="24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2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</row>
    <row r="272" spans="1:60" ht="24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2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</row>
    <row r="273" spans="1:60" ht="24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2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</row>
    <row r="274" spans="1:60" ht="24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2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</row>
    <row r="275" spans="1:60" ht="24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2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</row>
    <row r="276" spans="1:60" ht="24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2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</row>
    <row r="277" spans="1:60" ht="24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2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</row>
    <row r="278" spans="1:60" ht="24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2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</row>
    <row r="279" spans="1:60" ht="24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2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</row>
    <row r="280" spans="1:60" ht="24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2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</row>
    <row r="281" spans="1:60" ht="24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2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</row>
    <row r="282" spans="1:60" ht="24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2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</row>
    <row r="283" spans="1:60" ht="24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2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</row>
    <row r="284" spans="1:60" ht="24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2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</row>
    <row r="285" spans="1:60" ht="24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2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</row>
    <row r="286" spans="1:60" ht="24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2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</row>
    <row r="287" spans="1:60" ht="24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2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</row>
    <row r="288" spans="1:60" ht="24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2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</row>
    <row r="289" spans="1:60" ht="24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2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</row>
    <row r="290" spans="1:60" ht="24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2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</row>
    <row r="291" spans="1:60" ht="24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2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</row>
    <row r="292" spans="1:60" ht="24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2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</row>
    <row r="293" spans="1:60" ht="24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2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</row>
    <row r="294" spans="1:60" ht="24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2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</row>
    <row r="295" spans="1:60" ht="24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2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</row>
    <row r="296" spans="1:60" ht="24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2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</row>
    <row r="297" spans="1:60" ht="24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2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</row>
    <row r="298" spans="1:60" ht="24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2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</row>
    <row r="299" spans="1:60" ht="24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2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</row>
    <row r="300" spans="1:60" ht="24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2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</row>
    <row r="301" spans="1:60" ht="24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2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</row>
    <row r="302" spans="1:60" ht="24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2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</row>
    <row r="303" spans="1:60" ht="24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2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</row>
    <row r="304" spans="1:60" ht="24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2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</row>
    <row r="305" spans="1:60" ht="24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2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</row>
    <row r="306" spans="1:60" ht="24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2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</row>
    <row r="307" spans="1:60" ht="24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2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</row>
    <row r="308" spans="1:60" ht="24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2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</row>
    <row r="309" spans="1:60" ht="24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2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</row>
    <row r="310" spans="1:60" ht="24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2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</row>
    <row r="311" spans="1:60" ht="24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2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</row>
    <row r="312" spans="1:60" ht="24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2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</row>
    <row r="313" spans="1:60" ht="24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2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</row>
    <row r="314" spans="1:60" ht="24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2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</row>
    <row r="315" spans="1:60" ht="24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2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</row>
    <row r="316" spans="1:60" ht="24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2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</row>
    <row r="317" spans="1:60" ht="24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2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</row>
    <row r="318" spans="1:60" ht="24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2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</row>
    <row r="319" spans="1:60" ht="24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2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</row>
    <row r="320" spans="1:60" ht="24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2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</row>
    <row r="321" spans="1:60" ht="24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2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</row>
    <row r="322" spans="1:60" ht="24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2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</row>
    <row r="323" spans="1:60" ht="24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2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</row>
    <row r="324" spans="1:60" ht="24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2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</row>
    <row r="325" spans="1:60" ht="24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2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</row>
    <row r="326" spans="1:60" ht="24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2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</row>
    <row r="327" spans="1:60" ht="24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2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</row>
    <row r="328" spans="1:60" ht="24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2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</row>
    <row r="329" spans="1:60" ht="24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2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</row>
    <row r="330" spans="1:60" ht="24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2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</row>
    <row r="331" spans="1:60" ht="24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2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</row>
    <row r="332" spans="1:60" ht="24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2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</row>
    <row r="333" spans="1:60" ht="24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2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</row>
    <row r="334" spans="1:60" ht="24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2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</row>
    <row r="335" spans="1:60" ht="24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2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</row>
    <row r="336" spans="1:60" ht="24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2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</row>
    <row r="337" spans="1:60" ht="24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2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</row>
    <row r="338" spans="1:60" ht="24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2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</row>
    <row r="339" spans="1:60" ht="24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2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</row>
    <row r="340" spans="1:60" ht="24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2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</row>
    <row r="341" spans="1:60" ht="24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2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</row>
    <row r="342" spans="1:60" ht="24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2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</row>
    <row r="343" spans="1:60" ht="24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2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</row>
    <row r="344" spans="1:60" ht="24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2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</row>
    <row r="345" spans="1:60" ht="24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2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</row>
    <row r="346" spans="1:60" ht="24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2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</row>
    <row r="347" spans="1:60" ht="24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2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</row>
    <row r="348" spans="1:60" ht="24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2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</row>
    <row r="349" spans="1:60" ht="24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2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</row>
    <row r="350" spans="1:60" ht="24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2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</row>
    <row r="351" spans="1:60" ht="24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2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</row>
    <row r="352" spans="1:60" ht="24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2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</row>
    <row r="353" spans="1:60" ht="24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2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</row>
    <row r="354" spans="1:60" ht="24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2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</row>
    <row r="355" spans="1:60" ht="24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2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</row>
    <row r="356" spans="1:60" ht="24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2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</row>
    <row r="357" spans="1:60" ht="24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2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</row>
    <row r="358" spans="1:60" ht="24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2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</row>
    <row r="359" spans="1:60" ht="24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2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</row>
    <row r="360" spans="1:60" ht="24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2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</row>
    <row r="361" spans="1:60" ht="24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2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</row>
    <row r="362" spans="1:60" ht="24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2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</row>
    <row r="363" spans="1:60" ht="24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2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</row>
    <row r="364" spans="1:60" ht="24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2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</row>
    <row r="365" spans="1:60" ht="24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2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</row>
    <row r="366" spans="1:60" ht="24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2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</row>
    <row r="367" spans="1:60" ht="24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2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</row>
    <row r="368" spans="1:60" ht="24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2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</row>
    <row r="369" spans="1:60" ht="24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2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</row>
    <row r="370" spans="1:60" ht="24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2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</row>
    <row r="371" spans="1:60" ht="24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2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</row>
    <row r="372" spans="1:60" ht="24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2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</row>
    <row r="373" spans="1:60" ht="24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2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</row>
    <row r="374" spans="1:60" ht="24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2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</row>
    <row r="375" spans="1:60" ht="24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2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</row>
    <row r="376" spans="1:60" ht="24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2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</row>
    <row r="377" spans="1:60" ht="24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2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</row>
    <row r="378" spans="1:60" ht="24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2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</row>
    <row r="379" spans="1:60" ht="24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2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</row>
    <row r="380" spans="1:60" ht="24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2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</row>
    <row r="381" spans="1:60" ht="24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2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</row>
    <row r="382" spans="1:60" ht="24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2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</row>
    <row r="383" spans="1:60" ht="24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2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</row>
    <row r="384" spans="1:60" ht="24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2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</row>
    <row r="385" spans="1:60" ht="24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2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</row>
    <row r="386" spans="1:60" ht="24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2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</row>
    <row r="387" spans="1:60" ht="24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2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</row>
    <row r="388" spans="1:60" ht="24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2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</row>
    <row r="389" spans="1:60" ht="24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2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</row>
    <row r="390" spans="1:60" ht="24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2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</row>
    <row r="391" spans="1:60" ht="24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2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</row>
    <row r="392" spans="1:60" ht="24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2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</row>
    <row r="393" spans="1:60" ht="24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2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</row>
    <row r="394" spans="1:60" ht="24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2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</row>
    <row r="395" spans="1:60" ht="24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2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</row>
    <row r="396" spans="1:60" ht="24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2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</row>
    <row r="397" spans="1:60" ht="24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2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</row>
    <row r="398" spans="1:60" ht="24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2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</row>
    <row r="399" spans="1:60" ht="24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2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</row>
    <row r="400" spans="1:60" ht="24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2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</row>
    <row r="401" spans="1:60" ht="24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2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</row>
    <row r="402" spans="1:60" ht="24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2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</row>
    <row r="403" spans="1:60" ht="24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2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</row>
    <row r="404" spans="1:60" ht="24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2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</row>
    <row r="405" spans="1:60" ht="24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2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</row>
    <row r="406" spans="1:60" ht="24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2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</row>
    <row r="407" spans="1:60" ht="24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2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</row>
    <row r="408" spans="1:60" ht="24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2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</row>
    <row r="409" spans="1:60" ht="24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2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</row>
    <row r="410" spans="1:60" ht="24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2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</row>
    <row r="411" spans="1:60" ht="24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2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</row>
    <row r="412" spans="1:60" ht="24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2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</row>
    <row r="413" spans="1:60" ht="24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2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</row>
    <row r="414" spans="1:60" ht="24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2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</row>
    <row r="415" spans="1:60" ht="24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2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</row>
    <row r="416" spans="1:60" ht="24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2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</row>
    <row r="417" spans="1:60" ht="24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2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</row>
    <row r="418" spans="1:60" ht="24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2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</row>
    <row r="419" spans="1:60" ht="24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2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</row>
    <row r="420" spans="1:60" ht="24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2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</row>
    <row r="421" spans="1:60" ht="24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2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</row>
    <row r="422" spans="1:60" ht="24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2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</row>
    <row r="423" spans="1:60" ht="24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2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</row>
    <row r="424" spans="1:60" ht="24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2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</row>
    <row r="425" spans="1:60" ht="24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2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</row>
    <row r="426" spans="1:60" ht="24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2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</row>
    <row r="427" spans="1:60" ht="24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2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</row>
    <row r="428" spans="1:60" ht="24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2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</row>
    <row r="429" spans="1:60" ht="24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2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</row>
    <row r="430" spans="1:60" ht="24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2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</row>
    <row r="431" spans="1:60" ht="24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2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</row>
    <row r="432" spans="1:60" ht="24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2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</row>
    <row r="433" spans="1:60" ht="24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2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</row>
    <row r="434" spans="1:60" ht="24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2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</row>
    <row r="435" spans="1:60" ht="24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2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</row>
    <row r="436" spans="1:60" ht="24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2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</row>
    <row r="437" spans="1:60" ht="24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2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</row>
    <row r="438" spans="1:60" ht="24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2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</row>
    <row r="439" spans="1:60" ht="24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2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</row>
    <row r="440" spans="1:60" ht="24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2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</row>
    <row r="441" spans="1:60" ht="24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2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</row>
    <row r="442" spans="1:60" ht="24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2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</row>
    <row r="443" spans="1:60" ht="24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2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</row>
    <row r="444" spans="1:60" ht="24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2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</row>
    <row r="445" spans="1:60" ht="24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2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</row>
    <row r="446" spans="1:60" ht="24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2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</row>
    <row r="447" spans="1:60" ht="24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2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</row>
    <row r="448" spans="1:60" ht="24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2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</row>
    <row r="449" spans="1:60" ht="24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2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</row>
    <row r="450" spans="1:60" ht="24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2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</row>
    <row r="451" spans="1:60" ht="24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2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</row>
    <row r="452" spans="1:60" ht="24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2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</row>
    <row r="453" spans="1:60" ht="24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2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</row>
    <row r="454" spans="1:60" ht="24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2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</row>
    <row r="455" spans="1:60" ht="24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2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</row>
    <row r="456" spans="1:60" ht="24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2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</row>
    <row r="457" spans="1:60" ht="24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2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</row>
    <row r="458" spans="1:60" ht="24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2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</row>
    <row r="459" spans="1:60" ht="24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2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</row>
    <row r="460" spans="1:60" ht="24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2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</row>
    <row r="461" spans="1:60" ht="24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2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</row>
    <row r="462" spans="1:60" ht="24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2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</row>
    <row r="463" spans="1:60" ht="24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2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</row>
    <row r="464" spans="1:60" ht="24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2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</row>
    <row r="465" spans="1:60" ht="24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2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</row>
    <row r="466" spans="1:60" ht="24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2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</row>
    <row r="467" spans="1:60" ht="24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2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</row>
    <row r="468" spans="1:60" ht="24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2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</row>
    <row r="469" spans="1:60" ht="24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2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</row>
    <row r="470" spans="1:60" ht="24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2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</row>
    <row r="471" spans="1:60" ht="24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2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</row>
    <row r="472" spans="1:60" ht="24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2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</row>
    <row r="473" spans="1:60" ht="24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2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</row>
    <row r="474" spans="1:60" ht="24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2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</row>
    <row r="475" spans="1:60" ht="24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2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</row>
    <row r="476" spans="1:60" ht="24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2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</row>
    <row r="477" spans="1:60" ht="24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2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</row>
    <row r="478" spans="1:60" ht="24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2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</row>
    <row r="479" spans="1:60" ht="24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2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</row>
    <row r="480" spans="1:60" ht="24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2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</row>
    <row r="481" spans="1:60" ht="24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2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</row>
    <row r="482" spans="1:60" ht="24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2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</row>
    <row r="483" spans="1:60" ht="24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2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</row>
    <row r="484" spans="1:60" ht="24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2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</row>
    <row r="485" spans="1:60" ht="24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2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</row>
    <row r="486" spans="1:60" ht="24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2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</row>
    <row r="487" spans="1:60" ht="24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2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</row>
    <row r="488" spans="1:60" ht="24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2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</row>
    <row r="489" spans="1:60" ht="24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2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</row>
    <row r="490" spans="1:60" ht="24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2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</row>
    <row r="491" spans="1:60" ht="24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2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</row>
    <row r="492" spans="1:60" ht="24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2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</row>
    <row r="493" spans="1:60" ht="24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2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</row>
    <row r="494" spans="1:60" ht="24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2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</row>
    <row r="495" spans="1:60" ht="24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2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</row>
    <row r="496" spans="1:60" ht="24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2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</row>
    <row r="497" spans="1:60" ht="24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2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</row>
    <row r="498" spans="1:60" ht="24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2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</row>
    <row r="499" spans="1:60" ht="24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2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</row>
    <row r="500" spans="1:60" ht="24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2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</row>
    <row r="501" spans="1:60" ht="24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2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</row>
    <row r="502" spans="1:60" ht="24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2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</row>
    <row r="503" spans="1:60" ht="24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2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</row>
    <row r="504" spans="1:60" ht="24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2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</row>
    <row r="505" spans="1:60" ht="24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2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</row>
    <row r="506" spans="1:60" ht="24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2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</row>
    <row r="507" spans="1:60" ht="24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2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</row>
    <row r="508" spans="1:60" ht="24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2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</row>
    <row r="509" spans="1:60" ht="24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2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</row>
    <row r="510" spans="1:60" ht="24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2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</row>
    <row r="511" spans="1:60" ht="24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2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</row>
    <row r="512" spans="1:60" ht="24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2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</row>
    <row r="513" spans="1:60" ht="24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2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</row>
    <row r="514" spans="1:60" ht="24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2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</row>
    <row r="515" spans="1:60" ht="24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2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</row>
    <row r="516" spans="1:60" ht="24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2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</row>
    <row r="517" spans="1:60" ht="24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2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</row>
    <row r="518" spans="1:60" ht="24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2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</row>
    <row r="519" spans="1:60" ht="24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2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</row>
    <row r="520" spans="1:60" ht="24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2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</row>
    <row r="521" spans="1:60" ht="24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2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</row>
    <row r="522" spans="1:60" ht="24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2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</row>
    <row r="523" spans="1:60" ht="24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2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</row>
    <row r="524" spans="1:60" ht="24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2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</row>
    <row r="525" spans="1:60" ht="24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2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</row>
    <row r="526" spans="1:60" ht="24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2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</row>
    <row r="527" spans="1:60" ht="24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2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</row>
    <row r="528" spans="1:60" ht="24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2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</row>
    <row r="529" spans="1:60" ht="24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2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</row>
    <row r="530" spans="1:60" ht="24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2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</row>
    <row r="531" spans="1:60" ht="24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2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</row>
    <row r="532" spans="1:60" ht="24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2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</row>
    <row r="533" spans="1:60" ht="24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2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</row>
    <row r="534" spans="1:60" ht="24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2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</row>
    <row r="535" spans="1:60" ht="24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2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</row>
    <row r="536" spans="1:60" ht="24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2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</row>
    <row r="537" spans="1:60" ht="24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2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</row>
    <row r="538" spans="1:60" ht="24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2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</row>
    <row r="539" spans="1:60" ht="24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2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</row>
    <row r="540" spans="1:60" ht="24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2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</row>
    <row r="541" spans="1:60" ht="24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2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</row>
    <row r="542" spans="1:60" ht="24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2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</row>
    <row r="543" spans="1:60" ht="24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2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</row>
    <row r="544" spans="1:60" ht="24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2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</row>
    <row r="545" spans="1:60" ht="24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2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</row>
    <row r="546" spans="1:60" ht="24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2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</row>
    <row r="547" spans="1:60" ht="24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2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</row>
    <row r="548" spans="1:60" ht="24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2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</row>
    <row r="549" spans="1:60" ht="24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2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</row>
    <row r="550" spans="1:60" ht="24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2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</row>
    <row r="551" spans="1:60" ht="24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2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</row>
    <row r="552" spans="1:60" ht="24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2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</row>
    <row r="553" spans="1:60" ht="24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2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</row>
    <row r="554" spans="1:60" ht="24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2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</row>
    <row r="555" spans="1:60" ht="24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2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</row>
    <row r="556" spans="1:60" ht="24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2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</row>
    <row r="557" spans="1:60" ht="24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2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</row>
    <row r="558" spans="1:60" ht="24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2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</row>
    <row r="559" spans="1:60" ht="24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2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</row>
    <row r="560" spans="1:60" ht="24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2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</row>
    <row r="561" spans="1:60" ht="24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2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</row>
    <row r="562" spans="1:60" ht="24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2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</row>
    <row r="563" spans="1:60" ht="24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2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</row>
    <row r="564" spans="1:60" ht="24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2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</row>
    <row r="565" spans="1:60" ht="24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2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</row>
    <row r="566" spans="1:60" ht="24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2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</row>
    <row r="567" spans="1:60" ht="24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2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</row>
    <row r="568" spans="1:60" ht="24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2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</row>
    <row r="569" spans="1:60" ht="24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2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</row>
    <row r="570" spans="1:60" ht="24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2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</row>
    <row r="571" spans="1:60" ht="24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2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</row>
    <row r="572" spans="1:60" ht="24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2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</row>
    <row r="573" spans="1:60" ht="24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2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</row>
    <row r="574" spans="1:60" ht="24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2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</row>
    <row r="575" spans="1:60" ht="24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2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</row>
    <row r="576" spans="1:60" ht="24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2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</row>
    <row r="577" spans="1:60" ht="24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2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</row>
    <row r="578" spans="1:60" ht="24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2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</row>
    <row r="579" spans="1:60" ht="24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2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</row>
    <row r="580" spans="1:60" ht="24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2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</row>
    <row r="581" spans="1:60" ht="24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2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</row>
    <row r="582" spans="1:60" ht="24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2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</row>
    <row r="583" spans="1:60" ht="24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2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</row>
    <row r="584" spans="1:60" ht="24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2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</row>
    <row r="585" spans="1:60" ht="24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2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</row>
    <row r="586" spans="1:60" ht="24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2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</row>
    <row r="587" spans="1:60" ht="24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2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</row>
    <row r="588" spans="1:60" ht="24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2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</row>
    <row r="589" spans="1:60" ht="24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2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</row>
    <row r="590" spans="1:60" ht="24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2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</row>
    <row r="591" spans="1:60" ht="24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2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</row>
    <row r="592" spans="1:60" ht="24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2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</row>
    <row r="593" spans="1:60" ht="24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2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</row>
    <row r="594" spans="1:60" ht="24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2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</row>
    <row r="595" spans="1:60" ht="24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2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</row>
    <row r="596" spans="1:60" ht="24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2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</row>
    <row r="597" spans="1:60" ht="24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2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</row>
    <row r="598" spans="1:60" ht="24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2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</row>
    <row r="599" spans="1:60" ht="24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2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</row>
    <row r="600" spans="1:60" ht="24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2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</row>
    <row r="601" spans="1:60" ht="24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2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</row>
    <row r="602" spans="1:60" ht="24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2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</row>
    <row r="603" spans="1:60" ht="24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2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</row>
    <row r="604" spans="1:60" ht="24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2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</row>
    <row r="605" spans="1:60" ht="24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2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</row>
    <row r="606" spans="1:60" ht="24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2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</row>
    <row r="607" spans="1:60" ht="24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2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</row>
    <row r="608" spans="1:60" ht="24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2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</row>
    <row r="609" spans="1:60" ht="24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2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</row>
    <row r="610" spans="1:60" ht="24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2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</row>
    <row r="611" spans="1:60" ht="24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2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</row>
    <row r="612" spans="1:60" ht="24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2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</row>
    <row r="613" spans="1:60" ht="24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2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</row>
    <row r="614" spans="1:60" ht="24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2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</row>
    <row r="615" spans="1:60" ht="24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2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</row>
    <row r="616" spans="1:60" ht="24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2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</row>
    <row r="617" spans="1:60" ht="24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2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</row>
    <row r="618" spans="1:60" ht="24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2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</row>
    <row r="619" spans="1:60" ht="24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2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</row>
    <row r="620" spans="1:60" ht="24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2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</row>
    <row r="621" spans="1:60" ht="24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2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</row>
    <row r="622" spans="1:60" ht="24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2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</row>
    <row r="623" spans="1:60" ht="24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2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</row>
    <row r="624" spans="1:60" ht="24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2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</row>
    <row r="625" spans="1:60" ht="24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2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</row>
    <row r="626" spans="1:60" ht="24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2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</row>
    <row r="627" spans="1:60" ht="24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2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</row>
    <row r="628" spans="1:60" ht="24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2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</row>
    <row r="629" spans="1:60" ht="24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2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</row>
    <row r="630" spans="1:60" ht="24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2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</row>
    <row r="631" spans="1:60" ht="24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2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</row>
    <row r="632" spans="1:60" ht="24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2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</row>
    <row r="633" spans="1:60" ht="24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2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</row>
    <row r="634" spans="1:60" ht="24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2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</row>
    <row r="635" spans="1:60" ht="24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2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</row>
    <row r="636" spans="1:60" ht="24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2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</row>
    <row r="637" spans="1:60" ht="24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2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</row>
    <row r="638" spans="1:60" ht="24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2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</row>
    <row r="639" spans="1:60" ht="24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2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</row>
    <row r="640" spans="1:60" ht="24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2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</row>
    <row r="641" spans="1:60" ht="24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2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</row>
    <row r="642" spans="1:60" ht="24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2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</row>
    <row r="643" spans="1:60" ht="24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2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</row>
    <row r="644" spans="1:60" ht="24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2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</row>
    <row r="645" spans="1:60" ht="24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2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</row>
    <row r="646" spans="1:60" ht="24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2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</row>
    <row r="647" spans="1:60" ht="24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2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</row>
    <row r="648" spans="1:60" ht="24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2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</row>
    <row r="649" spans="1:60" ht="24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2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</row>
    <row r="650" spans="1:60" ht="24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2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</row>
    <row r="651" spans="1:60" ht="24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2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</row>
    <row r="652" spans="1:60" ht="24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2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</row>
    <row r="653" spans="1:60" ht="24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2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</row>
    <row r="654" spans="1:60" ht="24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2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</row>
    <row r="655" spans="1:60" ht="24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2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</row>
    <row r="656" spans="1:60" ht="24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2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</row>
    <row r="657" spans="1:60" ht="24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2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</row>
    <row r="658" spans="1:60" ht="24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2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</row>
    <row r="659" spans="1:60" ht="24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2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</row>
    <row r="660" spans="1:60" ht="24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2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</row>
    <row r="661" spans="1:60" ht="24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2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</row>
    <row r="662" spans="1:60" ht="24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2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</row>
    <row r="663" spans="1:60" ht="24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2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</row>
    <row r="664" spans="1:60" ht="24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2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</row>
    <row r="665" spans="1:60" ht="24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2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</row>
    <row r="666" spans="1:60" ht="24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2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</row>
    <row r="667" spans="1:60" ht="24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2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</row>
    <row r="668" spans="1:60" ht="24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2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</row>
    <row r="669" spans="1:60" ht="24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2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</row>
    <row r="670" spans="1:60" ht="24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2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</row>
    <row r="671" spans="1:60" ht="24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2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</row>
    <row r="672" spans="1:60" ht="24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2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</row>
    <row r="673" spans="1:60" ht="24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2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</row>
    <row r="674" spans="1:60" ht="24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2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</row>
    <row r="675" spans="1:60" ht="24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2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</row>
    <row r="676" spans="1:60" ht="24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2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</row>
    <row r="677" spans="1:60" ht="24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2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</row>
    <row r="678" spans="1:60" ht="24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2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</row>
    <row r="679" spans="1:60" ht="24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2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</row>
    <row r="680" spans="1:60" ht="24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2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</row>
    <row r="681" spans="1:60" ht="24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2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</row>
    <row r="682" spans="1:60" ht="24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2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</row>
    <row r="683" spans="1:60" ht="24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2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</row>
    <row r="684" spans="1:60" ht="24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2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</row>
    <row r="685" spans="1:60" ht="24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2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</row>
    <row r="686" spans="1:60" ht="24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2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</row>
    <row r="687" spans="1:60" ht="24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2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</row>
    <row r="688" spans="1:60" ht="24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2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</row>
    <row r="689" spans="1:60" ht="24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2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</row>
    <row r="690" spans="1:60" ht="24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2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</row>
    <row r="691" spans="1:60" ht="24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2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</row>
    <row r="692" spans="1:60" ht="24.75" customHeight="1">
      <c r="A692" s="1"/>
      <c r="B692" s="1" t="s">
        <v>143</v>
      </c>
      <c r="C692" s="1"/>
      <c r="D692" s="1"/>
      <c r="E692" s="1"/>
      <c r="F692" s="1"/>
      <c r="G692" s="1"/>
      <c r="H692" s="1"/>
      <c r="I692" s="1"/>
      <c r="J692" s="1"/>
      <c r="K692" s="1"/>
      <c r="L692" s="2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</row>
    <row r="693" spans="1:60" ht="24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2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</row>
    <row r="694" spans="1:60" ht="24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2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</row>
    <row r="695" spans="1:60" ht="24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2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</row>
    <row r="696" spans="1:60" ht="24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2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</row>
    <row r="697" spans="1:60" ht="24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2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</row>
    <row r="698" spans="1:60" ht="24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2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</row>
    <row r="699" spans="1:60" ht="24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2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</row>
    <row r="700" spans="1:60" ht="24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2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</row>
    <row r="701" spans="1:60" ht="24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2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</row>
    <row r="702" spans="1:60" ht="24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2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</row>
    <row r="703" spans="1:60" ht="24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2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</row>
    <row r="704" spans="1:60" ht="24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2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</row>
    <row r="705" spans="1:60" ht="24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2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</row>
    <row r="706" spans="1:60" ht="24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2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</row>
    <row r="707" spans="1:60" ht="24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2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</row>
    <row r="708" spans="1:60" ht="24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2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</row>
    <row r="709" spans="1:60" ht="24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2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</row>
    <row r="710" spans="1:60" ht="24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2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</row>
    <row r="711" spans="1:60" ht="24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2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</row>
    <row r="712" spans="1:60" ht="24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2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</row>
    <row r="713" spans="1:60" ht="24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2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</row>
    <row r="714" spans="1:60" ht="24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2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</row>
    <row r="715" spans="1:60" ht="24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2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</row>
    <row r="716" spans="1:60" ht="24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2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</row>
    <row r="717" spans="1:60" ht="24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2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</row>
    <row r="718" spans="1:60" ht="24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2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</row>
    <row r="719" spans="1:60" ht="24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2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</row>
    <row r="720" spans="1:60" ht="24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2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</row>
    <row r="721" spans="1:60" ht="24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2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</row>
    <row r="722" spans="1:60" ht="24.75" customHeight="1">
      <c r="A722" s="1"/>
      <c r="B722" s="1" t="s">
        <v>144</v>
      </c>
      <c r="C722" s="1"/>
      <c r="D722" s="1"/>
      <c r="E722" s="1"/>
      <c r="F722" s="1"/>
      <c r="G722" s="1"/>
      <c r="H722" s="1"/>
      <c r="I722" s="1"/>
      <c r="J722" s="1"/>
      <c r="K722" s="1"/>
      <c r="L722" s="2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</row>
    <row r="723" spans="1:60" ht="24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2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</row>
    <row r="724" spans="1:60" ht="24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2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</row>
    <row r="725" spans="1:60" ht="24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2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</row>
    <row r="726" spans="1:60" ht="24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2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</row>
    <row r="727" spans="1:60" ht="24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2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</row>
    <row r="728" spans="1:60" ht="24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2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</row>
    <row r="729" spans="1:60" ht="24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2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</row>
    <row r="730" spans="1:60" ht="24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2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</row>
    <row r="731" spans="1:60" ht="24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2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</row>
    <row r="732" spans="1:60" ht="24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2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</row>
    <row r="733" spans="1:60" ht="24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2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</row>
    <row r="734" spans="1:60" ht="24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2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</row>
    <row r="735" spans="1:60" ht="24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2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</row>
    <row r="736" spans="1:60" ht="24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2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</row>
    <row r="737" spans="1:60" ht="24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2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</row>
    <row r="738" spans="1:60" ht="24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2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</row>
    <row r="739" spans="1:60" ht="24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2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</row>
    <row r="740" spans="1:60" ht="24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2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</row>
    <row r="741" spans="1:60" ht="24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2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</row>
    <row r="742" spans="1:60" ht="24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2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</row>
    <row r="743" spans="1:60" ht="24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2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</row>
    <row r="744" spans="1:60" ht="24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2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</row>
    <row r="745" spans="1:60" ht="24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2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</row>
    <row r="746" spans="1:60" ht="24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2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</row>
    <row r="747" spans="1:60" ht="24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2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</row>
    <row r="748" spans="1:60" ht="24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2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</row>
    <row r="749" spans="1:60" ht="24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2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</row>
    <row r="750" spans="1:60" ht="24.75" customHeight="1">
      <c r="A750" s="1"/>
      <c r="B750" s="1" t="s">
        <v>145</v>
      </c>
      <c r="C750" s="1"/>
      <c r="D750" s="1"/>
      <c r="E750" s="1"/>
      <c r="F750" s="1"/>
      <c r="G750" s="1"/>
      <c r="H750" s="1"/>
      <c r="I750" s="1"/>
      <c r="J750" s="1"/>
      <c r="K750" s="1"/>
      <c r="L750" s="2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</row>
  </sheetData>
  <phoneticPr fontId="3" type="noConversion"/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영풍정밀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 KIM</dc:creator>
  <cp:lastModifiedBy>체리 형부</cp:lastModifiedBy>
  <dcterms:created xsi:type="dcterms:W3CDTF">2021-08-29T08:24:34Z</dcterms:created>
  <dcterms:modified xsi:type="dcterms:W3CDTF">2022-11-10T22:26:35Z</dcterms:modified>
</cp:coreProperties>
</file>