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3.xml" ContentType="application/vnd.openxmlformats-officedocument.drawingml.chartshapes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https://d.docs.live.net/385649d22ccf351b/문서/Finance/Excel Data/"/>
    </mc:Choice>
  </mc:AlternateContent>
  <xr:revisionPtr revIDLastSave="0" documentId="8_{88F19B3E-73DC-4616-AB63-46F51AF3251E}" xr6:coauthVersionLast="47" xr6:coauthVersionMax="47" xr10:uidLastSave="{00000000-0000-0000-0000-000000000000}"/>
  <bookViews>
    <workbookView xWindow="-38510" yWindow="-4150" windowWidth="38620" windowHeight="21100" xr2:uid="{00000000-000D-0000-FFFF-FFFF00000000}"/>
  </bookViews>
  <sheets>
    <sheet name="엘오티베큠" sheetId="1" r:id="rId1"/>
    <sheet name="차트" sheetId="11" r:id="rId2"/>
  </sheets>
  <calcPr calcId="191029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" roundtripDataSignature="AMtx7mjRzUCbpIBOjXUv7HyBdaCYTmvPcQ=="/>
    </ext>
  </extLst>
</workbook>
</file>

<file path=xl/calcChain.xml><?xml version="1.0" encoding="utf-8"?>
<calcChain xmlns="http://schemas.openxmlformats.org/spreadsheetml/2006/main">
  <c r="Y122" i="1" l="1"/>
  <c r="X122" i="1"/>
  <c r="W122" i="1"/>
  <c r="V122" i="1"/>
  <c r="U122" i="1"/>
  <c r="T122" i="1"/>
  <c r="S122" i="1"/>
  <c r="R122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C122" i="1"/>
  <c r="M163" i="1"/>
  <c r="L167" i="1"/>
  <c r="K167" i="1"/>
  <c r="J167" i="1"/>
  <c r="I167" i="1"/>
  <c r="H167" i="1"/>
  <c r="G167" i="1"/>
  <c r="F167" i="1"/>
  <c r="E167" i="1"/>
  <c r="D167" i="1"/>
  <c r="C167" i="1"/>
  <c r="L165" i="1"/>
  <c r="K165" i="1"/>
  <c r="J165" i="1"/>
  <c r="I165" i="1"/>
  <c r="H165" i="1"/>
  <c r="G165" i="1"/>
  <c r="F165" i="1"/>
  <c r="E165" i="1"/>
  <c r="D165" i="1"/>
  <c r="C165" i="1"/>
  <c r="L161" i="1"/>
  <c r="K161" i="1"/>
  <c r="J161" i="1"/>
  <c r="I161" i="1"/>
  <c r="H161" i="1"/>
  <c r="G161" i="1"/>
  <c r="F161" i="1"/>
  <c r="E161" i="1"/>
  <c r="D161" i="1"/>
  <c r="C161" i="1"/>
  <c r="X92" i="1"/>
  <c r="W92" i="1"/>
  <c r="Y92" i="1"/>
  <c r="F91" i="1"/>
  <c r="J91" i="1"/>
  <c r="L93" i="1"/>
  <c r="N91" i="1"/>
  <c r="R91" i="1"/>
  <c r="V91" i="1"/>
  <c r="Y93" i="1"/>
  <c r="X93" i="1"/>
  <c r="W93" i="1"/>
  <c r="U93" i="1"/>
  <c r="T93" i="1"/>
  <c r="S93" i="1"/>
  <c r="Q93" i="1"/>
  <c r="P93" i="1"/>
  <c r="O93" i="1"/>
  <c r="M93" i="1"/>
  <c r="K93" i="1"/>
  <c r="I93" i="1"/>
  <c r="H93" i="1"/>
  <c r="G93" i="1"/>
  <c r="E93" i="1"/>
  <c r="D93" i="1"/>
  <c r="C93" i="1"/>
  <c r="Y90" i="1"/>
  <c r="X90" i="1"/>
  <c r="W90" i="1"/>
  <c r="S90" i="1"/>
  <c r="O90" i="1"/>
  <c r="K90" i="1"/>
  <c r="G90" i="1"/>
  <c r="C90" i="1"/>
  <c r="D39" i="1"/>
  <c r="E39" i="1" s="1"/>
  <c r="F39" i="1" s="1"/>
  <c r="D38" i="1"/>
  <c r="D119" i="1"/>
  <c r="E119" i="1" s="1"/>
  <c r="F119" i="1" s="1"/>
  <c r="E38" i="1"/>
  <c r="F38" i="1" s="1"/>
  <c r="H39" i="1"/>
  <c r="I39" i="1" s="1"/>
  <c r="J39" i="1" s="1"/>
  <c r="H38" i="1"/>
  <c r="I38" i="1" s="1"/>
  <c r="J38" i="1" s="1"/>
  <c r="H119" i="1"/>
  <c r="I119" i="1" s="1"/>
  <c r="J119" i="1" s="1"/>
  <c r="K119" i="1"/>
  <c r="L119" i="1" s="1"/>
  <c r="L39" i="1"/>
  <c r="L38" i="1"/>
  <c r="M39" i="1" l="1"/>
  <c r="N39" i="1" s="1"/>
  <c r="M38" i="1"/>
  <c r="M119" i="1"/>
  <c r="N38" i="1"/>
  <c r="P39" i="1"/>
  <c r="Q39" i="1" s="1"/>
  <c r="R39" i="1" s="1"/>
  <c r="P38" i="1"/>
  <c r="Q38" i="1" s="1"/>
  <c r="R38" i="1" s="1"/>
  <c r="P119" i="1"/>
  <c r="T39" i="1"/>
  <c r="U39" i="1" s="1"/>
  <c r="V39" i="1" s="1"/>
  <c r="T38" i="1"/>
  <c r="U38" i="1" s="1"/>
  <c r="V38" i="1" s="1"/>
  <c r="T119" i="1"/>
  <c r="X39" i="1"/>
  <c r="Y39" i="1" s="1"/>
  <c r="X38" i="1"/>
  <c r="Y38" i="1" s="1"/>
  <c r="X119" i="1"/>
  <c r="C18" i="1"/>
  <c r="D18" i="1" s="1"/>
  <c r="E18" i="1" s="1"/>
  <c r="F18" i="1" s="1"/>
  <c r="G18" i="1"/>
  <c r="H18" i="1" s="1"/>
  <c r="I18" i="1" s="1"/>
  <c r="J18" i="1" s="1"/>
  <c r="D17" i="1"/>
  <c r="E17" i="1" s="1"/>
  <c r="F17" i="1" s="1"/>
  <c r="H17" i="1"/>
  <c r="I17" i="1" s="1"/>
  <c r="J17" i="1" s="1"/>
  <c r="K18" i="1"/>
  <c r="L18" i="1" s="1"/>
  <c r="M18" i="1" s="1"/>
  <c r="N18" i="1" s="1"/>
  <c r="O18" i="1"/>
  <c r="P18" i="1" s="1"/>
  <c r="Q18" i="1" s="1"/>
  <c r="R18" i="1" s="1"/>
  <c r="L17" i="1"/>
  <c r="M17" i="1" s="1"/>
  <c r="N17" i="1" s="1"/>
  <c r="P17" i="1"/>
  <c r="Q17" i="1" s="1"/>
  <c r="R17" i="1" s="1"/>
  <c r="R2" i="1"/>
  <c r="S2" i="1"/>
  <c r="S18" i="1"/>
  <c r="T18" i="1" s="1"/>
  <c r="U18" i="1" s="1"/>
  <c r="V18" i="1" s="1"/>
  <c r="W18" i="1"/>
  <c r="X18" i="1" s="1"/>
  <c r="Y18" i="1" s="1"/>
  <c r="T17" i="1"/>
  <c r="X17" i="1"/>
  <c r="Y17" i="1" s="1"/>
  <c r="Y152" i="1"/>
  <c r="X152" i="1"/>
  <c r="W152" i="1"/>
  <c r="V152" i="1"/>
  <c r="U152" i="1"/>
  <c r="T152" i="1"/>
  <c r="S152" i="1"/>
  <c r="R152" i="1"/>
  <c r="Q152" i="1"/>
  <c r="P152" i="1"/>
  <c r="O152" i="1"/>
  <c r="N152" i="1"/>
  <c r="M152" i="1"/>
  <c r="L152" i="1"/>
  <c r="K152" i="1"/>
  <c r="J152" i="1"/>
  <c r="J155" i="1" s="1"/>
  <c r="I152" i="1"/>
  <c r="H152" i="1"/>
  <c r="G152" i="1"/>
  <c r="F152" i="1"/>
  <c r="E152" i="1"/>
  <c r="D152" i="1"/>
  <c r="C152" i="1"/>
  <c r="R107" i="1"/>
  <c r="R108" i="1"/>
  <c r="Y116" i="1"/>
  <c r="Y117" i="1" s="1"/>
  <c r="X116" i="1"/>
  <c r="X117" i="1" s="1"/>
  <c r="W116" i="1"/>
  <c r="V116" i="1"/>
  <c r="V117" i="1" s="1"/>
  <c r="U116" i="1"/>
  <c r="U117" i="1" s="1"/>
  <c r="T116" i="1"/>
  <c r="T117" i="1" s="1"/>
  <c r="S116" i="1"/>
  <c r="Q116" i="1"/>
  <c r="Q117" i="1" s="1"/>
  <c r="P116" i="1"/>
  <c r="P117" i="1" s="1"/>
  <c r="O116" i="1"/>
  <c r="N116" i="1"/>
  <c r="N117" i="1" s="1"/>
  <c r="M116" i="1"/>
  <c r="M117" i="1" s="1"/>
  <c r="L116" i="1"/>
  <c r="L117" i="1" s="1"/>
  <c r="K116" i="1"/>
  <c r="K117" i="1" s="1"/>
  <c r="J116" i="1"/>
  <c r="J117" i="1" s="1"/>
  <c r="I116" i="1"/>
  <c r="I120" i="1" s="1"/>
  <c r="H116" i="1"/>
  <c r="H117" i="1" s="1"/>
  <c r="G116" i="1"/>
  <c r="E116" i="1"/>
  <c r="E117" i="1" s="1"/>
  <c r="D116" i="1"/>
  <c r="D117" i="1" s="1"/>
  <c r="C116" i="1"/>
  <c r="F112" i="1"/>
  <c r="F111" i="1"/>
  <c r="F110" i="1"/>
  <c r="F109" i="1"/>
  <c r="F108" i="1"/>
  <c r="F107" i="1"/>
  <c r="R68" i="1"/>
  <c r="D100" i="1"/>
  <c r="E100" i="1" s="1"/>
  <c r="F100" i="1" s="1"/>
  <c r="D99" i="1"/>
  <c r="E99" i="1" s="1"/>
  <c r="F99" i="1" s="1"/>
  <c r="D98" i="1"/>
  <c r="E98" i="1" s="1"/>
  <c r="F98" i="1" s="1"/>
  <c r="D97" i="1"/>
  <c r="E97" i="1" s="1"/>
  <c r="F97" i="1" s="1"/>
  <c r="D88" i="1"/>
  <c r="E88" i="1" s="1"/>
  <c r="F88" i="1" s="1"/>
  <c r="D87" i="1"/>
  <c r="E87" i="1" s="1"/>
  <c r="F87" i="1" s="1"/>
  <c r="D86" i="1"/>
  <c r="D85" i="1"/>
  <c r="E85" i="1" s="1"/>
  <c r="F85" i="1" s="1"/>
  <c r="H100" i="1"/>
  <c r="I100" i="1" s="1"/>
  <c r="J100" i="1" s="1"/>
  <c r="H99" i="1"/>
  <c r="I99" i="1" s="1"/>
  <c r="J99" i="1" s="1"/>
  <c r="H98" i="1"/>
  <c r="I98" i="1" s="1"/>
  <c r="J98" i="1" s="1"/>
  <c r="H97" i="1"/>
  <c r="I97" i="1" s="1"/>
  <c r="J97" i="1" s="1"/>
  <c r="H88" i="1"/>
  <c r="I88" i="1" s="1"/>
  <c r="J88" i="1" s="1"/>
  <c r="H87" i="1"/>
  <c r="I87" i="1" s="1"/>
  <c r="J87" i="1" s="1"/>
  <c r="H86" i="1"/>
  <c r="H85" i="1"/>
  <c r="I85" i="1" s="1"/>
  <c r="J85" i="1" s="1"/>
  <c r="I75" i="1"/>
  <c r="L100" i="1"/>
  <c r="M100" i="1" s="1"/>
  <c r="L99" i="1"/>
  <c r="M99" i="1" s="1"/>
  <c r="L98" i="1"/>
  <c r="M98" i="1" s="1"/>
  <c r="L97" i="1"/>
  <c r="M97" i="1" s="1"/>
  <c r="L88" i="1"/>
  <c r="M88" i="1" s="1"/>
  <c r="L87" i="1"/>
  <c r="M87" i="1" s="1"/>
  <c r="L86" i="1"/>
  <c r="L85" i="1"/>
  <c r="M85" i="1" s="1"/>
  <c r="P100" i="1"/>
  <c r="Q100" i="1" s="1"/>
  <c r="R100" i="1" s="1"/>
  <c r="P99" i="1"/>
  <c r="Q99" i="1" s="1"/>
  <c r="R99" i="1" s="1"/>
  <c r="P98" i="1"/>
  <c r="Q98" i="1" s="1"/>
  <c r="R98" i="1" s="1"/>
  <c r="P97" i="1"/>
  <c r="Q97" i="1" s="1"/>
  <c r="R97" i="1" s="1"/>
  <c r="P88" i="1"/>
  <c r="Q88" i="1" s="1"/>
  <c r="R88" i="1" s="1"/>
  <c r="P87" i="1"/>
  <c r="Q87" i="1" s="1"/>
  <c r="R87" i="1" s="1"/>
  <c r="P86" i="1"/>
  <c r="P85" i="1"/>
  <c r="Q85" i="1" s="1"/>
  <c r="R85" i="1" s="1"/>
  <c r="X102" i="1"/>
  <c r="Y102" i="1" s="1"/>
  <c r="U102" i="1"/>
  <c r="V102" i="1" s="1"/>
  <c r="X101" i="1"/>
  <c r="Y101" i="1" s="1"/>
  <c r="T101" i="1"/>
  <c r="U101" i="1" s="1"/>
  <c r="V101" i="1" s="1"/>
  <c r="X100" i="1"/>
  <c r="Y100" i="1" s="1"/>
  <c r="T100" i="1"/>
  <c r="U100" i="1" s="1"/>
  <c r="V100" i="1" s="1"/>
  <c r="X99" i="1"/>
  <c r="Y99" i="1" s="1"/>
  <c r="T99" i="1"/>
  <c r="U99" i="1" s="1"/>
  <c r="V99" i="1" s="1"/>
  <c r="X98" i="1"/>
  <c r="Y98" i="1" s="1"/>
  <c r="T98" i="1"/>
  <c r="U98" i="1" s="1"/>
  <c r="V98" i="1" s="1"/>
  <c r="X97" i="1"/>
  <c r="Y97" i="1" s="1"/>
  <c r="T97" i="1"/>
  <c r="U97" i="1" s="1"/>
  <c r="V97" i="1" s="1"/>
  <c r="U89" i="1"/>
  <c r="T88" i="1"/>
  <c r="U88" i="1" s="1"/>
  <c r="V88" i="1" s="1"/>
  <c r="T87" i="1"/>
  <c r="U87" i="1" s="1"/>
  <c r="V87" i="1" s="1"/>
  <c r="T86" i="1"/>
  <c r="X85" i="1"/>
  <c r="Y85" i="1" s="1"/>
  <c r="T85" i="1"/>
  <c r="U85" i="1" s="1"/>
  <c r="V85" i="1" s="1"/>
  <c r="Y49" i="1"/>
  <c r="X49" i="1"/>
  <c r="V49" i="1"/>
  <c r="U49" i="1"/>
  <c r="T49" i="1"/>
  <c r="R49" i="1"/>
  <c r="Q49" i="1"/>
  <c r="P49" i="1"/>
  <c r="N49" i="1"/>
  <c r="M49" i="1"/>
  <c r="L49" i="1"/>
  <c r="N50" i="1"/>
  <c r="O49" i="1" s="1"/>
  <c r="R50" i="1"/>
  <c r="S49" i="1" s="1"/>
  <c r="V50" i="1"/>
  <c r="W49" i="1" s="1"/>
  <c r="Y50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D12" i="1"/>
  <c r="F11" i="1"/>
  <c r="F7" i="1"/>
  <c r="F6" i="1"/>
  <c r="F93" i="1" s="1"/>
  <c r="J11" i="1"/>
  <c r="J7" i="1"/>
  <c r="J6" i="1"/>
  <c r="J93" i="1" s="1"/>
  <c r="N11" i="1"/>
  <c r="N7" i="1"/>
  <c r="N6" i="1"/>
  <c r="N90" i="1" s="1"/>
  <c r="R11" i="1"/>
  <c r="R7" i="1"/>
  <c r="R6" i="1"/>
  <c r="R93" i="1" s="1"/>
  <c r="V11" i="1"/>
  <c r="V7" i="1"/>
  <c r="V6" i="1"/>
  <c r="V93" i="1" s="1"/>
  <c r="D31" i="1"/>
  <c r="E31" i="1" s="1"/>
  <c r="F31" i="1" s="1"/>
  <c r="D30" i="1"/>
  <c r="E30" i="1" s="1"/>
  <c r="F30" i="1" s="1"/>
  <c r="D29" i="1"/>
  <c r="E29" i="1" s="1"/>
  <c r="F29" i="1" s="1"/>
  <c r="D28" i="1"/>
  <c r="E28" i="1" s="1"/>
  <c r="F28" i="1" s="1"/>
  <c r="D27" i="1"/>
  <c r="E27" i="1" s="1"/>
  <c r="F27" i="1" s="1"/>
  <c r="D26" i="1"/>
  <c r="H31" i="1"/>
  <c r="I31" i="1" s="1"/>
  <c r="J31" i="1" s="1"/>
  <c r="H30" i="1"/>
  <c r="I30" i="1" s="1"/>
  <c r="J30" i="1" s="1"/>
  <c r="H29" i="1"/>
  <c r="I29" i="1" s="1"/>
  <c r="J29" i="1" s="1"/>
  <c r="H28" i="1"/>
  <c r="I28" i="1" s="1"/>
  <c r="J28" i="1" s="1"/>
  <c r="H27" i="1"/>
  <c r="I27" i="1" s="1"/>
  <c r="H26" i="1"/>
  <c r="I26" i="1" s="1"/>
  <c r="J26" i="1" s="1"/>
  <c r="L31" i="1"/>
  <c r="M31" i="1" s="1"/>
  <c r="N31" i="1" s="1"/>
  <c r="L30" i="1"/>
  <c r="L29" i="1"/>
  <c r="M29" i="1" s="1"/>
  <c r="N29" i="1" s="1"/>
  <c r="L28" i="1"/>
  <c r="M28" i="1" s="1"/>
  <c r="N28" i="1" s="1"/>
  <c r="L27" i="1"/>
  <c r="M27" i="1" s="1"/>
  <c r="N27" i="1" s="1"/>
  <c r="L26" i="1"/>
  <c r="M26" i="1" s="1"/>
  <c r="N26" i="1" s="1"/>
  <c r="P31" i="1"/>
  <c r="Q31" i="1" s="1"/>
  <c r="R31" i="1" s="1"/>
  <c r="P30" i="1"/>
  <c r="Q30" i="1" s="1"/>
  <c r="R30" i="1" s="1"/>
  <c r="P29" i="1"/>
  <c r="Q29" i="1" s="1"/>
  <c r="P28" i="1"/>
  <c r="Q28" i="1" s="1"/>
  <c r="R28" i="1" s="1"/>
  <c r="P27" i="1"/>
  <c r="Q27" i="1" s="1"/>
  <c r="R27" i="1" s="1"/>
  <c r="P26" i="1"/>
  <c r="Q26" i="1" s="1"/>
  <c r="R26" i="1" s="1"/>
  <c r="T31" i="1"/>
  <c r="U31" i="1" s="1"/>
  <c r="V31" i="1" s="1"/>
  <c r="T30" i="1"/>
  <c r="U30" i="1" s="1"/>
  <c r="V30" i="1" s="1"/>
  <c r="T29" i="1"/>
  <c r="U29" i="1" s="1"/>
  <c r="V29" i="1" s="1"/>
  <c r="T28" i="1"/>
  <c r="U28" i="1" s="1"/>
  <c r="V28" i="1" s="1"/>
  <c r="T27" i="1"/>
  <c r="T26" i="1"/>
  <c r="U26" i="1" s="1"/>
  <c r="V26" i="1" s="1"/>
  <c r="X31" i="1"/>
  <c r="Y31" i="1" s="1"/>
  <c r="X30" i="1"/>
  <c r="Y30" i="1" s="1"/>
  <c r="X29" i="1"/>
  <c r="Y29" i="1" s="1"/>
  <c r="X28" i="1"/>
  <c r="Y28" i="1" s="1"/>
  <c r="X27" i="1"/>
  <c r="Y27" i="1" s="1"/>
  <c r="X26" i="1"/>
  <c r="Y26" i="1" s="1"/>
  <c r="W33" i="1"/>
  <c r="S33" i="1"/>
  <c r="O33" i="1"/>
  <c r="K33" i="1"/>
  <c r="G33" i="1"/>
  <c r="W32" i="1"/>
  <c r="S32" i="1"/>
  <c r="O32" i="1"/>
  <c r="K32" i="1"/>
  <c r="G32" i="1"/>
  <c r="C33" i="1"/>
  <c r="C32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Y70" i="1"/>
  <c r="Y68" i="1"/>
  <c r="X68" i="1"/>
  <c r="W68" i="1"/>
  <c r="V68" i="1"/>
  <c r="U68" i="1"/>
  <c r="T68" i="1"/>
  <c r="S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X44" i="1"/>
  <c r="Y45" i="1" s="1"/>
  <c r="W44" i="1"/>
  <c r="X45" i="1" s="1"/>
  <c r="V44" i="1"/>
  <c r="W45" i="1" s="1"/>
  <c r="U44" i="1"/>
  <c r="V45" i="1" s="1"/>
  <c r="T44" i="1"/>
  <c r="U45" i="1" s="1"/>
  <c r="S44" i="1"/>
  <c r="T45" i="1" s="1"/>
  <c r="R44" i="1"/>
  <c r="S45" i="1" s="1"/>
  <c r="Q44" i="1"/>
  <c r="R45" i="1" s="1"/>
  <c r="P44" i="1"/>
  <c r="Q45" i="1" s="1"/>
  <c r="O44" i="1"/>
  <c r="P45" i="1" s="1"/>
  <c r="N44" i="1"/>
  <c r="O45" i="1" s="1"/>
  <c r="M44" i="1"/>
  <c r="N45" i="1" s="1"/>
  <c r="L44" i="1"/>
  <c r="M45" i="1" s="1"/>
  <c r="K44" i="1"/>
  <c r="L45" i="1" s="1"/>
  <c r="J44" i="1"/>
  <c r="K45" i="1" s="1"/>
  <c r="I44" i="1"/>
  <c r="J45" i="1" s="1"/>
  <c r="H44" i="1"/>
  <c r="J46" i="1" s="1"/>
  <c r="G44" i="1"/>
  <c r="H45" i="1" s="1"/>
  <c r="F44" i="1"/>
  <c r="G45" i="1" s="1"/>
  <c r="E44" i="1"/>
  <c r="F45" i="1" s="1"/>
  <c r="D44" i="1"/>
  <c r="E45" i="1" s="1"/>
  <c r="C44" i="1"/>
  <c r="D45" i="1" s="1"/>
  <c r="Y44" i="1"/>
  <c r="Z45" i="1" s="1"/>
  <c r="L12" i="1"/>
  <c r="Y13" i="1"/>
  <c r="Y14" i="1" s="1"/>
  <c r="Y12" i="1"/>
  <c r="Y9" i="1"/>
  <c r="Y10" i="1" s="1"/>
  <c r="Y8" i="1"/>
  <c r="V89" i="1" l="1"/>
  <c r="V92" i="1" s="1"/>
  <c r="U92" i="1"/>
  <c r="E120" i="1"/>
  <c r="N93" i="1"/>
  <c r="H120" i="1"/>
  <c r="P120" i="1"/>
  <c r="Q46" i="1"/>
  <c r="D120" i="1"/>
  <c r="K120" i="1"/>
  <c r="L120" i="1"/>
  <c r="G154" i="1"/>
  <c r="G155" i="1"/>
  <c r="I154" i="1"/>
  <c r="I155" i="1"/>
  <c r="Y154" i="1"/>
  <c r="Y155" i="1"/>
  <c r="X154" i="1"/>
  <c r="X155" i="1"/>
  <c r="S117" i="1"/>
  <c r="S120" i="1"/>
  <c r="Q154" i="1"/>
  <c r="Q155" i="1"/>
  <c r="U86" i="1"/>
  <c r="T90" i="1"/>
  <c r="M86" i="1"/>
  <c r="M90" i="1" s="1"/>
  <c r="L90" i="1"/>
  <c r="K154" i="1"/>
  <c r="K155" i="1"/>
  <c r="N119" i="1"/>
  <c r="N120" i="1" s="1"/>
  <c r="M120" i="1"/>
  <c r="F154" i="1"/>
  <c r="F155" i="1"/>
  <c r="W154" i="1"/>
  <c r="W155" i="1"/>
  <c r="C117" i="1"/>
  <c r="C120" i="1"/>
  <c r="L154" i="1"/>
  <c r="L155" i="1"/>
  <c r="I117" i="1"/>
  <c r="G117" i="1"/>
  <c r="G120" i="1"/>
  <c r="P154" i="1"/>
  <c r="P155" i="1"/>
  <c r="V154" i="1"/>
  <c r="V155" i="1"/>
  <c r="O117" i="1"/>
  <c r="O120" i="1"/>
  <c r="H154" i="1"/>
  <c r="H155" i="1"/>
  <c r="E86" i="1"/>
  <c r="D90" i="1"/>
  <c r="M154" i="1"/>
  <c r="M155" i="1"/>
  <c r="J154" i="1"/>
  <c r="R154" i="1"/>
  <c r="R155" i="1"/>
  <c r="W117" i="1"/>
  <c r="W120" i="1"/>
  <c r="N154" i="1"/>
  <c r="N155" i="1"/>
  <c r="Y119" i="1"/>
  <c r="Y120" i="1" s="1"/>
  <c r="X120" i="1"/>
  <c r="O154" i="1"/>
  <c r="O155" i="1"/>
  <c r="U119" i="1"/>
  <c r="T120" i="1"/>
  <c r="Q86" i="1"/>
  <c r="P90" i="1"/>
  <c r="C154" i="1"/>
  <c r="C155" i="1"/>
  <c r="S154" i="1"/>
  <c r="S155" i="1"/>
  <c r="I86" i="1"/>
  <c r="H90" i="1"/>
  <c r="D154" i="1"/>
  <c r="D155" i="1"/>
  <c r="T154" i="1"/>
  <c r="T155" i="1"/>
  <c r="E154" i="1"/>
  <c r="E155" i="1"/>
  <c r="U154" i="1"/>
  <c r="U155" i="1"/>
  <c r="Q119" i="1"/>
  <c r="J120" i="1"/>
  <c r="U17" i="1"/>
  <c r="V17" i="1" s="1"/>
  <c r="I46" i="1"/>
  <c r="K46" i="1"/>
  <c r="R116" i="1"/>
  <c r="R117" i="1" s="1"/>
  <c r="F116" i="1"/>
  <c r="L46" i="1"/>
  <c r="R46" i="1"/>
  <c r="R29" i="1"/>
  <c r="R33" i="1" s="1"/>
  <c r="M46" i="1"/>
  <c r="O46" i="1"/>
  <c r="P46" i="1"/>
  <c r="S46" i="1"/>
  <c r="T46" i="1"/>
  <c r="N46" i="1"/>
  <c r="U46" i="1"/>
  <c r="V46" i="1"/>
  <c r="G46" i="1"/>
  <c r="W46" i="1"/>
  <c r="I45" i="1"/>
  <c r="A45" i="1" s="1"/>
  <c r="E46" i="1"/>
  <c r="F46" i="1"/>
  <c r="H46" i="1"/>
  <c r="X46" i="1"/>
  <c r="Y46" i="1"/>
  <c r="A49" i="1"/>
  <c r="A44" i="1"/>
  <c r="A50" i="1"/>
  <c r="L32" i="1"/>
  <c r="P33" i="1"/>
  <c r="D33" i="1"/>
  <c r="D32" i="1"/>
  <c r="E26" i="1"/>
  <c r="F26" i="1" s="1"/>
  <c r="E33" i="1"/>
  <c r="F33" i="1"/>
  <c r="H33" i="1"/>
  <c r="H32" i="1"/>
  <c r="I33" i="1"/>
  <c r="J27" i="1"/>
  <c r="J33" i="1" s="1"/>
  <c r="I32" i="1"/>
  <c r="J32" i="1"/>
  <c r="L33" i="1"/>
  <c r="M30" i="1"/>
  <c r="N30" i="1" s="1"/>
  <c r="N32" i="1" s="1"/>
  <c r="M33" i="1"/>
  <c r="P32" i="1"/>
  <c r="Q33" i="1"/>
  <c r="Q32" i="1"/>
  <c r="T33" i="1"/>
  <c r="U27" i="1"/>
  <c r="V27" i="1" s="1"/>
  <c r="V33" i="1" s="1"/>
  <c r="T32" i="1"/>
  <c r="N33" i="1"/>
  <c r="U32" i="1"/>
  <c r="X33" i="1"/>
  <c r="X32" i="1"/>
  <c r="R32" i="1"/>
  <c r="V32" i="1"/>
  <c r="Y33" i="1"/>
  <c r="Y32" i="1"/>
  <c r="Y19" i="1"/>
  <c r="U9" i="1"/>
  <c r="Y62" i="1"/>
  <c r="M32" i="1" l="1"/>
  <c r="R119" i="1"/>
  <c r="R120" i="1" s="1"/>
  <c r="Q120" i="1"/>
  <c r="F86" i="1"/>
  <c r="F90" i="1" s="1"/>
  <c r="E90" i="1"/>
  <c r="F117" i="1"/>
  <c r="F120" i="1"/>
  <c r="V86" i="1"/>
  <c r="V90" i="1" s="1"/>
  <c r="U90" i="1"/>
  <c r="J86" i="1"/>
  <c r="J90" i="1" s="1"/>
  <c r="I90" i="1"/>
  <c r="R86" i="1"/>
  <c r="R90" i="1" s="1"/>
  <c r="Q90" i="1"/>
  <c r="V119" i="1"/>
  <c r="V120" i="1" s="1"/>
  <c r="U120" i="1"/>
  <c r="U33" i="1"/>
  <c r="A46" i="1"/>
  <c r="F32" i="1"/>
  <c r="E32" i="1"/>
  <c r="V69" i="1"/>
  <c r="X69" i="1"/>
  <c r="G69" i="1"/>
  <c r="W69" i="1"/>
  <c r="O69" i="1"/>
  <c r="K69" i="1"/>
  <c r="L69" i="1"/>
  <c r="I69" i="1"/>
  <c r="Y69" i="1"/>
  <c r="H69" i="1"/>
  <c r="S69" i="1"/>
  <c r="E69" i="1"/>
  <c r="Y34" i="1"/>
  <c r="U69" i="1"/>
  <c r="D69" i="1"/>
  <c r="T69" i="1"/>
  <c r="F69" i="1"/>
  <c r="J69" i="1"/>
  <c r="M69" i="1"/>
  <c r="N69" i="1"/>
  <c r="P69" i="1"/>
  <c r="Q69" i="1"/>
  <c r="R69" i="1"/>
  <c r="S34" i="1"/>
  <c r="S36" i="1" s="1"/>
  <c r="O34" i="1"/>
  <c r="O36" i="1" s="1"/>
  <c r="K34" i="1"/>
  <c r="K36" i="1" s="1"/>
  <c r="G34" i="1"/>
  <c r="G36" i="1" s="1"/>
  <c r="W34" i="1"/>
  <c r="W36" i="1" s="1"/>
  <c r="C34" i="1"/>
  <c r="C36" i="1" s="1"/>
  <c r="C19" i="1"/>
  <c r="R62" i="1"/>
  <c r="A111" i="1" l="1"/>
  <c r="Y35" i="1"/>
  <c r="Y36" i="1"/>
  <c r="C35" i="1"/>
  <c r="K35" i="1"/>
  <c r="W35" i="1"/>
  <c r="O35" i="1"/>
  <c r="S35" i="1"/>
  <c r="G35" i="1"/>
  <c r="D34" i="1"/>
  <c r="D36" i="1" s="1"/>
  <c r="H34" i="1"/>
  <c r="H36" i="1" s="1"/>
  <c r="N19" i="1"/>
  <c r="P34" i="1"/>
  <c r="P36" i="1" s="1"/>
  <c r="T34" i="1"/>
  <c r="T36" i="1" s="1"/>
  <c r="X34" i="1"/>
  <c r="X36" i="1" s="1"/>
  <c r="D19" i="1"/>
  <c r="L19" i="1"/>
  <c r="T19" i="1"/>
  <c r="X35" i="1" l="1"/>
  <c r="T35" i="1"/>
  <c r="P35" i="1"/>
  <c r="D35" i="1"/>
  <c r="H35" i="1"/>
  <c r="Q34" i="1"/>
  <c r="E34" i="1"/>
  <c r="E36" i="1" s="1"/>
  <c r="L34" i="1"/>
  <c r="L36" i="1" s="1"/>
  <c r="F34" i="1"/>
  <c r="U34" i="1"/>
  <c r="U36" i="1" s="1"/>
  <c r="I34" i="1"/>
  <c r="I36" i="1" s="1"/>
  <c r="G8" i="1"/>
  <c r="H8" i="1"/>
  <c r="I8" i="1"/>
  <c r="D8" i="1"/>
  <c r="E8" i="1"/>
  <c r="K8" i="1"/>
  <c r="L8" i="1"/>
  <c r="M8" i="1"/>
  <c r="O8" i="1"/>
  <c r="P8" i="1"/>
  <c r="Q8" i="1"/>
  <c r="S8" i="1"/>
  <c r="T8" i="1"/>
  <c r="U8" i="1"/>
  <c r="W8" i="1"/>
  <c r="X8" i="1"/>
  <c r="C8" i="1"/>
  <c r="F35" i="1" l="1"/>
  <c r="F36" i="1"/>
  <c r="Q35" i="1"/>
  <c r="Q36" i="1"/>
  <c r="I35" i="1"/>
  <c r="E35" i="1"/>
  <c r="L35" i="1"/>
  <c r="U35" i="1"/>
  <c r="R34" i="1"/>
  <c r="R36" i="1" s="1"/>
  <c r="J34" i="1"/>
  <c r="J36" i="1" s="1"/>
  <c r="M34" i="1"/>
  <c r="M36" i="1" s="1"/>
  <c r="V34" i="1"/>
  <c r="V36" i="1" s="1"/>
  <c r="J8" i="1"/>
  <c r="R8" i="1"/>
  <c r="N8" i="1"/>
  <c r="F8" i="1"/>
  <c r="V8" i="1"/>
  <c r="Z106" i="1" s="1"/>
  <c r="Z119" i="1" l="1"/>
  <c r="Z120" i="1"/>
  <c r="Z111" i="1"/>
  <c r="Z109" i="1"/>
  <c r="Z115" i="1"/>
  <c r="Z116" i="1"/>
  <c r="Z112" i="1"/>
  <c r="Z113" i="1"/>
  <c r="Z107" i="1"/>
  <c r="Z108" i="1"/>
  <c r="Z110" i="1"/>
  <c r="Z114" i="1"/>
  <c r="V35" i="1"/>
  <c r="J35" i="1"/>
  <c r="M35" i="1"/>
  <c r="R35" i="1"/>
  <c r="N34" i="1"/>
  <c r="N36" i="1" s="1"/>
  <c r="X62" i="1"/>
  <c r="T62" i="1"/>
  <c r="W19" i="1"/>
  <c r="U19" i="1"/>
  <c r="S19" i="1"/>
  <c r="Q19" i="1"/>
  <c r="P19" i="1"/>
  <c r="O19" i="1"/>
  <c r="M19" i="1"/>
  <c r="K19" i="1"/>
  <c r="J19" i="1"/>
  <c r="I19" i="1"/>
  <c r="H19" i="1"/>
  <c r="G19" i="1"/>
  <c r="F19" i="1"/>
  <c r="E19" i="1"/>
  <c r="X19" i="1"/>
  <c r="R19" i="1"/>
  <c r="X13" i="1"/>
  <c r="S3" i="1" s="1"/>
  <c r="W13" i="1"/>
  <c r="U13" i="1"/>
  <c r="T13" i="1"/>
  <c r="T14" i="1" s="1"/>
  <c r="S13" i="1"/>
  <c r="S14" i="1" s="1"/>
  <c r="Q13" i="1"/>
  <c r="Q14" i="1" s="1"/>
  <c r="P13" i="1"/>
  <c r="P14" i="1" s="1"/>
  <c r="O13" i="1"/>
  <c r="O14" i="1" s="1"/>
  <c r="M13" i="1"/>
  <c r="M14" i="1" s="1"/>
  <c r="L13" i="1"/>
  <c r="L14" i="1" s="1"/>
  <c r="K13" i="1"/>
  <c r="K14" i="1" s="1"/>
  <c r="J13" i="1"/>
  <c r="J14" i="1" s="1"/>
  <c r="I13" i="1"/>
  <c r="I14" i="1" s="1"/>
  <c r="H13" i="1"/>
  <c r="H14" i="1" s="1"/>
  <c r="G13" i="1"/>
  <c r="G14" i="1" s="1"/>
  <c r="F13" i="1"/>
  <c r="F14" i="1" s="1"/>
  <c r="E13" i="1"/>
  <c r="E14" i="1" s="1"/>
  <c r="D13" i="1"/>
  <c r="D14" i="1" s="1"/>
  <c r="C13" i="1"/>
  <c r="C14" i="1" s="1"/>
  <c r="X12" i="1"/>
  <c r="W12" i="1"/>
  <c r="U12" i="1"/>
  <c r="T12" i="1"/>
  <c r="S12" i="1"/>
  <c r="Q12" i="1"/>
  <c r="P12" i="1"/>
  <c r="O12" i="1"/>
  <c r="M12" i="1"/>
  <c r="K12" i="1"/>
  <c r="J12" i="1"/>
  <c r="I12" i="1"/>
  <c r="H12" i="1"/>
  <c r="G12" i="1"/>
  <c r="F12" i="1"/>
  <c r="E12" i="1"/>
  <c r="C12" i="1"/>
  <c r="V12" i="1"/>
  <c r="R12" i="1"/>
  <c r="N12" i="1"/>
  <c r="X9" i="1"/>
  <c r="X10" i="1" s="1"/>
  <c r="W9" i="1"/>
  <c r="W10" i="1" s="1"/>
  <c r="U10" i="1"/>
  <c r="T9" i="1"/>
  <c r="T10" i="1" s="1"/>
  <c r="S9" i="1"/>
  <c r="Q9" i="1"/>
  <c r="Q10" i="1" s="1"/>
  <c r="P9" i="1"/>
  <c r="P10" i="1" s="1"/>
  <c r="O9" i="1"/>
  <c r="M9" i="1"/>
  <c r="M10" i="1" s="1"/>
  <c r="L9" i="1"/>
  <c r="L10" i="1" s="1"/>
  <c r="K9" i="1"/>
  <c r="J9" i="1"/>
  <c r="J10" i="1" s="1"/>
  <c r="I9" i="1"/>
  <c r="I10" i="1" s="1"/>
  <c r="H9" i="1"/>
  <c r="H10" i="1" s="1"/>
  <c r="G9" i="1"/>
  <c r="F9" i="1"/>
  <c r="F10" i="1" s="1"/>
  <c r="E9" i="1"/>
  <c r="E10" i="1" s="1"/>
  <c r="D9" i="1"/>
  <c r="D10" i="1" s="1"/>
  <c r="C9" i="1"/>
  <c r="V13" i="1"/>
  <c r="R13" i="1"/>
  <c r="N13" i="1"/>
  <c r="W14" i="1" l="1"/>
  <c r="M164" i="1"/>
  <c r="M165" i="1" s="1"/>
  <c r="Z144" i="1"/>
  <c r="Z126" i="1"/>
  <c r="Z146" i="1"/>
  <c r="Z151" i="1"/>
  <c r="Z143" i="1"/>
  <c r="Z125" i="1"/>
  <c r="U14" i="1"/>
  <c r="R3" i="1"/>
  <c r="N35" i="1"/>
  <c r="K10" i="1"/>
  <c r="O10" i="1"/>
  <c r="S10" i="1"/>
  <c r="G10" i="1"/>
  <c r="C10" i="1"/>
  <c r="X14" i="1"/>
  <c r="D62" i="1"/>
  <c r="F62" i="1"/>
  <c r="H62" i="1"/>
  <c r="L62" i="1"/>
  <c r="N62" i="1"/>
  <c r="P62" i="1"/>
  <c r="V62" i="1"/>
  <c r="J62" i="1"/>
  <c r="E62" i="1"/>
  <c r="G62" i="1"/>
  <c r="I62" i="1"/>
  <c r="K62" i="1"/>
  <c r="M62" i="1"/>
  <c r="O62" i="1"/>
  <c r="Q62" i="1"/>
  <c r="S62" i="1"/>
  <c r="U62" i="1"/>
  <c r="W62" i="1"/>
  <c r="R14" i="1"/>
  <c r="N14" i="1"/>
  <c r="V14" i="1"/>
  <c r="N9" i="1"/>
  <c r="R9" i="1"/>
  <c r="V9" i="1"/>
  <c r="V19" i="1"/>
  <c r="R10" i="1" l="1"/>
  <c r="V10" i="1"/>
  <c r="N10" i="1"/>
  <c r="Z31" i="1" l="1"/>
  <c r="Z33" i="1"/>
  <c r="Z32" i="1"/>
  <c r="Z27" i="1"/>
  <c r="Z30" i="1"/>
  <c r="Z26" i="1"/>
  <c r="A36" i="1"/>
</calcChain>
</file>

<file path=xl/sharedStrings.xml><?xml version="1.0" encoding="utf-8"?>
<sst xmlns="http://schemas.openxmlformats.org/spreadsheetml/2006/main" count="400" uniqueCount="177">
  <si>
    <t>17.1q</t>
  </si>
  <si>
    <t>17.2q</t>
  </si>
  <si>
    <t>17.3q</t>
  </si>
  <si>
    <t>17.4q</t>
  </si>
  <si>
    <t>18.1q</t>
  </si>
  <si>
    <t>18.2q</t>
  </si>
  <si>
    <t>18.3q</t>
  </si>
  <si>
    <t>18.4q</t>
  </si>
  <si>
    <t>19.1q</t>
  </si>
  <si>
    <t>19.2q</t>
  </si>
  <si>
    <t>19.3q</t>
  </si>
  <si>
    <t>19.4q</t>
  </si>
  <si>
    <t>20.1q</t>
  </si>
  <si>
    <t>20.2q</t>
  </si>
  <si>
    <t>20.3q</t>
  </si>
  <si>
    <t>20.4q</t>
  </si>
  <si>
    <t>21.1q</t>
  </si>
  <si>
    <t>21.2q</t>
  </si>
  <si>
    <t>21.3q</t>
  </si>
  <si>
    <t>21.4q</t>
  </si>
  <si>
    <t>22.1q</t>
  </si>
  <si>
    <t>22.2q</t>
  </si>
  <si>
    <t>GPM(%)</t>
  </si>
  <si>
    <t>OPM(%)</t>
  </si>
  <si>
    <t>OCF</t>
  </si>
  <si>
    <t>CAPEX</t>
  </si>
  <si>
    <t>FCF</t>
  </si>
  <si>
    <t>QoQ</t>
    <phoneticPr fontId="2" type="noConversion"/>
  </si>
  <si>
    <t>YoY</t>
    <phoneticPr fontId="2" type="noConversion"/>
  </si>
  <si>
    <t>Total</t>
    <phoneticPr fontId="2" type="noConversion"/>
  </si>
  <si>
    <t>22.3q</t>
  </si>
  <si>
    <t>22.4q</t>
    <phoneticPr fontId="2" type="noConversion"/>
  </si>
  <si>
    <t>LOT VACUUM AMERICA, INC.</t>
  </si>
  <si>
    <t>Correlation</t>
    <phoneticPr fontId="2" type="noConversion"/>
  </si>
  <si>
    <r>
      <rPr>
        <sz val="10"/>
        <color rgb="FF000000"/>
        <rFont val="굴림"/>
        <family val="3"/>
        <charset val="129"/>
      </rPr>
      <t>종업원급여</t>
    </r>
  </si>
  <si>
    <r>
      <rPr>
        <sz val="10"/>
        <color rgb="FF000000"/>
        <rFont val="굴림"/>
        <family val="3"/>
        <charset val="129"/>
      </rPr>
      <t>감가상각비</t>
    </r>
  </si>
  <si>
    <r>
      <rPr>
        <sz val="10"/>
        <color rgb="FF000000"/>
        <rFont val="굴림"/>
        <family val="3"/>
        <charset val="129"/>
      </rPr>
      <t>무형자산상각비</t>
    </r>
  </si>
  <si>
    <r>
      <rPr>
        <sz val="10"/>
        <color rgb="FF000000"/>
        <rFont val="굴림"/>
        <family val="3"/>
        <charset val="129"/>
      </rPr>
      <t>외주가공비</t>
    </r>
  </si>
  <si>
    <r>
      <rPr>
        <sz val="10"/>
        <color rgb="FF000000"/>
        <rFont val="굴림"/>
        <family val="3"/>
        <charset val="129"/>
      </rPr>
      <t>지급수수료</t>
    </r>
  </si>
  <si>
    <r>
      <rPr>
        <sz val="10"/>
        <color rgb="FF000000"/>
        <rFont val="굴림"/>
        <family val="3"/>
        <charset val="129"/>
      </rPr>
      <t>소모품비</t>
    </r>
  </si>
  <si>
    <r>
      <rPr>
        <sz val="10"/>
        <color rgb="FF000000"/>
        <rFont val="굴림"/>
        <family val="3"/>
        <charset val="129"/>
      </rPr>
      <t>제품보증비</t>
    </r>
  </si>
  <si>
    <r>
      <rPr>
        <sz val="10"/>
        <color rgb="FF000000"/>
        <rFont val="굴림"/>
        <family val="3"/>
        <charset val="129"/>
      </rPr>
      <t>기타</t>
    </r>
  </si>
  <si>
    <r>
      <rPr>
        <sz val="10"/>
        <color rgb="FF000000"/>
        <rFont val="굴림"/>
        <family val="3"/>
        <charset val="129"/>
      </rPr>
      <t>원재료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및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상품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등의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사용액</t>
    </r>
  </si>
  <si>
    <r>
      <rPr>
        <sz val="10"/>
        <color rgb="FF000000"/>
        <rFont val="굴림"/>
        <family val="3"/>
        <charset val="129"/>
      </rPr>
      <t>제품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및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재공품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등의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굴림"/>
        <family val="3"/>
        <charset val="129"/>
      </rPr>
      <t>변동</t>
    </r>
  </si>
  <si>
    <r>
      <rPr>
        <sz val="10"/>
        <color rgb="FF000000"/>
        <rFont val="굴림"/>
        <family val="3"/>
        <charset val="129"/>
      </rPr>
      <t>합</t>
    </r>
    <r>
      <rPr>
        <sz val="10"/>
        <color rgb="FF000000"/>
        <rFont val="Arial Narrow"/>
        <family val="2"/>
      </rPr>
      <t xml:space="preserve">  </t>
    </r>
    <r>
      <rPr>
        <sz val="10"/>
        <color rgb="FF000000"/>
        <rFont val="굴림"/>
        <family val="3"/>
        <charset val="129"/>
      </rPr>
      <t>계</t>
    </r>
  </si>
  <si>
    <r>
      <rPr>
        <b/>
        <sz val="10"/>
        <color theme="1"/>
        <rFont val="Segoe UI Symbol"/>
        <family val="3"/>
      </rPr>
      <t>▣</t>
    </r>
    <r>
      <rPr>
        <b/>
        <sz val="10"/>
        <color theme="1"/>
        <rFont val="Arial Narrow"/>
        <family val="2"/>
      </rPr>
      <t xml:space="preserve"> </t>
    </r>
    <r>
      <rPr>
        <b/>
        <sz val="10"/>
        <color theme="1"/>
        <rFont val="Arial Unicode MS"/>
        <family val="2"/>
        <charset val="129"/>
      </rPr>
      <t>엘오티베큠</t>
    </r>
    <phoneticPr fontId="2" type="noConversion"/>
  </si>
  <si>
    <r>
      <rPr>
        <sz val="10"/>
        <color theme="1"/>
        <rFont val="돋움"/>
        <family val="3"/>
        <charset val="129"/>
      </rPr>
      <t>매출액</t>
    </r>
    <phoneticPr fontId="2" type="noConversion"/>
  </si>
  <si>
    <r>
      <rPr>
        <sz val="10"/>
        <color theme="1"/>
        <rFont val="돋움"/>
        <family val="3"/>
        <charset val="129"/>
      </rPr>
      <t>영업이익</t>
    </r>
    <phoneticPr fontId="2" type="noConversion"/>
  </si>
  <si>
    <r>
      <rPr>
        <sz val="10"/>
        <color theme="1"/>
        <rFont val="돋움"/>
        <family val="3"/>
        <charset val="129"/>
      </rPr>
      <t>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분</t>
    </r>
  </si>
  <si>
    <r>
      <rPr>
        <sz val="10"/>
        <color theme="1"/>
        <rFont val="돋움"/>
        <family val="3"/>
        <charset val="129"/>
      </rPr>
      <t>매출액</t>
    </r>
  </si>
  <si>
    <r>
      <rPr>
        <sz val="10"/>
        <color theme="1"/>
        <rFont val="돋움"/>
        <family val="3"/>
        <charset val="129"/>
      </rPr>
      <t>매출원가</t>
    </r>
  </si>
  <si>
    <r>
      <t xml:space="preserve"> </t>
    </r>
    <r>
      <rPr>
        <sz val="10"/>
        <color theme="1"/>
        <rFont val="돋움"/>
        <family val="3"/>
        <charset val="129"/>
      </rPr>
      <t>매출원가율</t>
    </r>
    <r>
      <rPr>
        <sz val="10"/>
        <color theme="1"/>
        <rFont val="Arial Narrow"/>
        <family val="2"/>
      </rPr>
      <t>(%)</t>
    </r>
    <phoneticPr fontId="2" type="noConversion"/>
  </si>
  <si>
    <r>
      <rPr>
        <sz val="10"/>
        <color theme="1"/>
        <rFont val="돋움"/>
        <family val="3"/>
        <charset val="129"/>
      </rPr>
      <t>매출총이익</t>
    </r>
  </si>
  <si>
    <r>
      <rPr>
        <sz val="10"/>
        <color theme="1"/>
        <rFont val="돋움"/>
        <family val="3"/>
        <charset val="129"/>
      </rPr>
      <t>판관비</t>
    </r>
  </si>
  <si>
    <r>
      <t xml:space="preserve"> </t>
    </r>
    <r>
      <rPr>
        <sz val="10"/>
        <color theme="1"/>
        <rFont val="돋움"/>
        <family val="3"/>
        <charset val="129"/>
      </rPr>
      <t>판관비율</t>
    </r>
    <r>
      <rPr>
        <sz val="10"/>
        <color theme="1"/>
        <rFont val="Arial Narrow"/>
        <family val="2"/>
      </rPr>
      <t>(%)</t>
    </r>
    <phoneticPr fontId="2" type="noConversion"/>
  </si>
  <si>
    <r>
      <rPr>
        <sz val="10"/>
        <color theme="1"/>
        <rFont val="돋움"/>
        <family val="3"/>
        <charset val="129"/>
      </rPr>
      <t>영업이익</t>
    </r>
  </si>
  <si>
    <r>
      <t xml:space="preserve">OCF (Operating Activity Cash Flow) : </t>
    </r>
    <r>
      <rPr>
        <sz val="10"/>
        <color rgb="FF002060"/>
        <rFont val="돋움"/>
        <family val="3"/>
        <charset val="129"/>
      </rPr>
      <t>영업활동현금흐름</t>
    </r>
  </si>
  <si>
    <r>
      <t xml:space="preserve">CAPEX (Capital Expenditure) : </t>
    </r>
    <r>
      <rPr>
        <sz val="10"/>
        <color rgb="FF002060"/>
        <rFont val="돋움"/>
        <family val="3"/>
        <charset val="129"/>
      </rPr>
      <t>자본적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지출</t>
    </r>
    <r>
      <rPr>
        <sz val="10"/>
        <color rgb="FF002060"/>
        <rFont val="Arial Narrow"/>
        <family val="2"/>
      </rPr>
      <t xml:space="preserve">, </t>
    </r>
    <r>
      <rPr>
        <sz val="10"/>
        <color rgb="FF002060"/>
        <rFont val="돋움"/>
        <family val="3"/>
        <charset val="129"/>
      </rPr>
      <t>유</t>
    </r>
    <r>
      <rPr>
        <sz val="10"/>
        <color rgb="FF002060"/>
        <rFont val="Arial Narrow"/>
        <family val="2"/>
      </rPr>
      <t>.</t>
    </r>
    <r>
      <rPr>
        <sz val="10"/>
        <color rgb="FF002060"/>
        <rFont val="돋움"/>
        <family val="3"/>
        <charset val="129"/>
      </rPr>
      <t>무형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설비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투자</t>
    </r>
  </si>
  <si>
    <r>
      <t xml:space="preserve">FCF (Free Cash Flow): </t>
    </r>
    <r>
      <rPr>
        <sz val="10"/>
        <color rgb="FF002060"/>
        <rFont val="돋움"/>
        <family val="3"/>
        <charset val="129"/>
      </rPr>
      <t>잉여현금흐름</t>
    </r>
    <r>
      <rPr>
        <sz val="10"/>
        <color rgb="FF002060"/>
        <rFont val="Arial Narrow"/>
        <family val="2"/>
      </rPr>
      <t xml:space="preserve"> = OCF - CAPEX</t>
    </r>
  </si>
  <si>
    <r>
      <rPr>
        <sz val="10"/>
        <rFont val="Arial Unicode MS"/>
        <family val="2"/>
        <charset val="129"/>
      </rPr>
      <t>건식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진공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펌프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제품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매출액</t>
    </r>
    <r>
      <rPr>
        <sz val="10"/>
        <rFont val="Arial Narrow"/>
        <family val="2"/>
      </rPr>
      <t xml:space="preserve"> - </t>
    </r>
    <r>
      <rPr>
        <sz val="10"/>
        <rFont val="Arial Unicode MS"/>
        <family val="2"/>
        <charset val="129"/>
      </rPr>
      <t>수출</t>
    </r>
    <phoneticPr fontId="2" type="noConversion"/>
  </si>
  <si>
    <r>
      <rPr>
        <sz val="10"/>
        <rFont val="Arial Unicode MS"/>
        <family val="2"/>
        <charset val="129"/>
      </rPr>
      <t>건식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진공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펌프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제품</t>
    </r>
    <r>
      <rPr>
        <sz val="10"/>
        <rFont val="Arial Narrow"/>
        <family val="2"/>
      </rPr>
      <t xml:space="preserve"> </t>
    </r>
    <r>
      <rPr>
        <sz val="10"/>
        <rFont val="Arial Unicode MS"/>
        <family val="2"/>
        <charset val="129"/>
      </rPr>
      <t>매출액</t>
    </r>
    <r>
      <rPr>
        <sz val="10"/>
        <rFont val="Arial Narrow"/>
        <family val="2"/>
      </rPr>
      <t xml:space="preserve"> - </t>
    </r>
    <r>
      <rPr>
        <sz val="10"/>
        <rFont val="Arial Unicode MS"/>
        <family val="2"/>
        <charset val="129"/>
      </rPr>
      <t>내수</t>
    </r>
    <phoneticPr fontId="2" type="noConversion"/>
  </si>
  <si>
    <r>
      <rPr>
        <sz val="10"/>
        <color rgb="FF002060"/>
        <rFont val="굴림"/>
        <family val="2"/>
        <charset val="129"/>
      </rPr>
      <t>플라즈마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굴림"/>
        <family val="2"/>
        <charset val="129"/>
      </rPr>
      <t>전처리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굴림"/>
        <family val="2"/>
        <charset val="129"/>
      </rPr>
      <t>시스템</t>
    </r>
    <r>
      <rPr>
        <sz val="10"/>
        <color rgb="FF002060"/>
        <rFont val="Arial Narrow"/>
        <family val="2"/>
      </rPr>
      <t xml:space="preserve"> (</t>
    </r>
    <r>
      <rPr>
        <sz val="10"/>
        <color rgb="FF002060"/>
        <rFont val="굴림"/>
        <family val="2"/>
        <charset val="129"/>
      </rPr>
      <t>상품</t>
    </r>
    <r>
      <rPr>
        <sz val="10"/>
        <color rgb="FF002060"/>
        <rFont val="Arial Narrow"/>
        <family val="2"/>
      </rPr>
      <t xml:space="preserve">) </t>
    </r>
    <r>
      <rPr>
        <sz val="10"/>
        <color rgb="FF002060"/>
        <rFont val="굴림"/>
        <family val="2"/>
        <charset val="129"/>
      </rPr>
      <t>매출액</t>
    </r>
    <r>
      <rPr>
        <sz val="10"/>
        <color rgb="FF002060"/>
        <rFont val="Arial Narrow"/>
        <family val="2"/>
      </rPr>
      <t xml:space="preserve"> - </t>
    </r>
    <r>
      <rPr>
        <sz val="10"/>
        <color rgb="FF002060"/>
        <rFont val="굴림"/>
        <family val="2"/>
        <charset val="129"/>
      </rPr>
      <t>수출</t>
    </r>
    <phoneticPr fontId="2" type="noConversion"/>
  </si>
  <si>
    <r>
      <rPr>
        <sz val="10"/>
        <color rgb="FF002060"/>
        <rFont val="굴림"/>
        <family val="2"/>
        <charset val="129"/>
      </rPr>
      <t>플라즈마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굴림"/>
        <family val="2"/>
        <charset val="129"/>
      </rPr>
      <t>전처리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굴림"/>
        <family val="2"/>
        <charset val="129"/>
      </rPr>
      <t>시스템</t>
    </r>
    <r>
      <rPr>
        <sz val="10"/>
        <color rgb="FF002060"/>
        <rFont val="Arial Narrow"/>
        <family val="2"/>
      </rPr>
      <t xml:space="preserve"> (</t>
    </r>
    <r>
      <rPr>
        <sz val="10"/>
        <color rgb="FF002060"/>
        <rFont val="굴림"/>
        <family val="2"/>
        <charset val="129"/>
      </rPr>
      <t>상품</t>
    </r>
    <r>
      <rPr>
        <sz val="10"/>
        <color rgb="FF002060"/>
        <rFont val="Arial Narrow"/>
        <family val="2"/>
      </rPr>
      <t xml:space="preserve">) </t>
    </r>
    <r>
      <rPr>
        <sz val="10"/>
        <color rgb="FF002060"/>
        <rFont val="굴림"/>
        <family val="2"/>
        <charset val="129"/>
      </rPr>
      <t>매출액</t>
    </r>
    <r>
      <rPr>
        <sz val="10"/>
        <color rgb="FF002060"/>
        <rFont val="Arial Narrow"/>
        <family val="2"/>
      </rPr>
      <t xml:space="preserve"> - </t>
    </r>
    <r>
      <rPr>
        <sz val="10"/>
        <color rgb="FF002060"/>
        <rFont val="굴림"/>
        <family val="2"/>
        <charset val="129"/>
      </rPr>
      <t>내수</t>
    </r>
    <phoneticPr fontId="2" type="noConversion"/>
  </si>
  <si>
    <r>
      <rPr>
        <sz val="10"/>
        <color rgb="FF002060"/>
        <rFont val="굴림"/>
        <family val="2"/>
        <charset val="129"/>
      </rPr>
      <t>수선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굴림"/>
        <family val="2"/>
        <charset val="129"/>
      </rPr>
      <t>보수</t>
    </r>
    <r>
      <rPr>
        <sz val="10"/>
        <color rgb="FF002060"/>
        <rFont val="Arial Narrow"/>
        <family val="2"/>
      </rPr>
      <t xml:space="preserve"> - </t>
    </r>
    <r>
      <rPr>
        <sz val="10"/>
        <color rgb="FF002060"/>
        <rFont val="굴림"/>
        <family val="2"/>
        <charset val="129"/>
      </rPr>
      <t>수출</t>
    </r>
    <phoneticPr fontId="2" type="noConversion"/>
  </si>
  <si>
    <r>
      <rPr>
        <sz val="10"/>
        <color rgb="FF002060"/>
        <rFont val="굴림"/>
        <family val="2"/>
        <charset val="129"/>
      </rPr>
      <t>수선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굴림"/>
        <family val="2"/>
        <charset val="129"/>
      </rPr>
      <t>보수</t>
    </r>
    <r>
      <rPr>
        <sz val="10"/>
        <color rgb="FF002060"/>
        <rFont val="Arial Narrow"/>
        <family val="2"/>
      </rPr>
      <t xml:space="preserve"> - </t>
    </r>
    <r>
      <rPr>
        <sz val="10"/>
        <color rgb="FF002060"/>
        <rFont val="굴림"/>
        <family val="2"/>
        <charset val="129"/>
      </rPr>
      <t>내수</t>
    </r>
    <phoneticPr fontId="2" type="noConversion"/>
  </si>
  <si>
    <r>
      <rPr>
        <sz val="10"/>
        <color rgb="FF0070C0"/>
        <rFont val="Arial Unicode MS"/>
        <family val="2"/>
        <charset val="129"/>
      </rPr>
      <t>매출액</t>
    </r>
    <r>
      <rPr>
        <sz val="10"/>
        <color rgb="FF0070C0"/>
        <rFont val="Arial Narrow"/>
        <family val="2"/>
      </rPr>
      <t>(</t>
    </r>
    <r>
      <rPr>
        <sz val="10"/>
        <color rgb="FF0070C0"/>
        <rFont val="Arial Unicode MS"/>
        <family val="2"/>
        <charset val="129"/>
      </rPr>
      <t>수출</t>
    </r>
    <r>
      <rPr>
        <sz val="10"/>
        <color rgb="FF0070C0"/>
        <rFont val="Arial Narrow"/>
        <family val="2"/>
      </rPr>
      <t>)</t>
    </r>
    <phoneticPr fontId="2" type="noConversion"/>
  </si>
  <si>
    <r>
      <rPr>
        <sz val="10"/>
        <color rgb="FF0070C0"/>
        <rFont val="Arial Unicode MS"/>
        <family val="2"/>
        <charset val="129"/>
      </rPr>
      <t>매출액</t>
    </r>
    <r>
      <rPr>
        <sz val="10"/>
        <color rgb="FF0070C0"/>
        <rFont val="Arial Narrow"/>
        <family val="2"/>
      </rPr>
      <t>(</t>
    </r>
    <r>
      <rPr>
        <sz val="10"/>
        <color rgb="FF0070C0"/>
        <rFont val="Arial Unicode MS"/>
        <family val="2"/>
        <charset val="129"/>
      </rPr>
      <t>내수</t>
    </r>
    <r>
      <rPr>
        <sz val="10"/>
        <color rgb="FF0070C0"/>
        <rFont val="Arial Narrow"/>
        <family val="2"/>
      </rPr>
      <t>)</t>
    </r>
    <phoneticPr fontId="2" type="noConversion"/>
  </si>
  <si>
    <r>
      <t xml:space="preserve">GPM </t>
    </r>
    <r>
      <rPr>
        <sz val="10"/>
        <color theme="1"/>
        <rFont val="Arial Unicode MS"/>
        <family val="2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매출액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중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수선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보수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비율</t>
    </r>
    <r>
      <rPr>
        <sz val="10"/>
        <color theme="1"/>
        <rFont val="Arial Narrow"/>
        <family val="2"/>
      </rPr>
      <t xml:space="preserve">
</t>
    </r>
    <r>
      <rPr>
        <sz val="10"/>
        <color theme="1"/>
        <rFont val="Arial Unicode MS"/>
        <family val="2"/>
        <charset val="129"/>
      </rPr>
      <t>상관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관계</t>
    </r>
    <phoneticPr fontId="2" type="noConversion"/>
  </si>
  <si>
    <r>
      <rPr>
        <sz val="10"/>
        <color rgb="FF002060"/>
        <rFont val="Arial Unicode MS"/>
        <family val="2"/>
        <charset val="129"/>
      </rPr>
      <t>매출액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Arial Unicode MS"/>
        <family val="2"/>
        <charset val="129"/>
      </rPr>
      <t>중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Arial Unicode MS"/>
        <family val="2"/>
        <charset val="129"/>
      </rPr>
      <t>수출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Arial Unicode MS"/>
        <family val="2"/>
        <charset val="129"/>
      </rPr>
      <t>비율</t>
    </r>
    <r>
      <rPr>
        <sz val="10"/>
        <color rgb="FF002060"/>
        <rFont val="Arial Narrow"/>
        <family val="2"/>
      </rPr>
      <t>(%)</t>
    </r>
    <phoneticPr fontId="2" type="noConversion"/>
  </si>
  <si>
    <r>
      <rPr>
        <sz val="10"/>
        <color rgb="FF002060"/>
        <rFont val="맑은 고딕"/>
        <family val="2"/>
        <charset val="129"/>
      </rPr>
      <t>매출액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맑은 고딕"/>
        <family val="2"/>
        <charset val="129"/>
      </rPr>
      <t>중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맑은 고딕"/>
        <family val="2"/>
        <charset val="129"/>
      </rPr>
      <t>수선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맑은 고딕"/>
        <family val="2"/>
        <charset val="129"/>
      </rPr>
      <t>보수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맑은 고딕"/>
        <family val="2"/>
        <charset val="129"/>
      </rPr>
      <t>비율</t>
    </r>
    <r>
      <rPr>
        <sz val="10"/>
        <color rgb="FF002060"/>
        <rFont val="Arial Narrow"/>
        <family val="2"/>
      </rPr>
      <t>(%)</t>
    </r>
    <phoneticPr fontId="2" type="noConversion"/>
  </si>
  <si>
    <r>
      <rPr>
        <sz val="10"/>
        <color theme="1"/>
        <rFont val="Arial Unicode MS"/>
        <family val="2"/>
        <charset val="129"/>
      </rPr>
      <t>수주잔고</t>
    </r>
    <phoneticPr fontId="2" type="noConversion"/>
  </si>
  <si>
    <r>
      <rPr>
        <sz val="10"/>
        <rFont val="Arial Unicode MS"/>
        <family val="2"/>
        <charset val="129"/>
      </rPr>
      <t>국내</t>
    </r>
    <phoneticPr fontId="2" type="noConversion"/>
  </si>
  <si>
    <r>
      <rPr>
        <sz val="10"/>
        <color rgb="FF002060"/>
        <rFont val="Arial Unicode MS"/>
        <family val="2"/>
        <charset val="129"/>
      </rPr>
      <t>해외</t>
    </r>
    <phoneticPr fontId="2" type="noConversion"/>
  </si>
  <si>
    <r>
      <rPr>
        <sz val="10"/>
        <color theme="1"/>
        <rFont val="Arial Unicode MS"/>
        <family val="2"/>
        <charset val="129"/>
      </rPr>
      <t>수주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잔고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계</t>
    </r>
    <phoneticPr fontId="2" type="noConversion"/>
  </si>
  <si>
    <r>
      <rPr>
        <sz val="10"/>
        <color theme="1"/>
        <rFont val="Arial Unicode MS"/>
        <family val="2"/>
        <charset val="129"/>
      </rPr>
      <t>수주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잔고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Arial Unicode MS"/>
        <family val="2"/>
        <charset val="129"/>
      </rPr>
      <t>분기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래깅</t>
    </r>
    <phoneticPr fontId="2" type="noConversion"/>
  </si>
  <si>
    <r>
      <rPr>
        <sz val="10"/>
        <color theme="1"/>
        <rFont val="Arial Unicode MS"/>
        <family val="2"/>
        <charset val="129"/>
      </rPr>
      <t>수주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잔고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Arial Unicode MS"/>
        <family val="2"/>
        <charset val="129"/>
      </rPr>
      <t>분기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래깅</t>
    </r>
    <phoneticPr fontId="2" type="noConversion"/>
  </si>
  <si>
    <r>
      <rPr>
        <sz val="10"/>
        <color theme="1"/>
        <rFont val="Arial Unicode MS"/>
        <family val="2"/>
        <charset val="129"/>
      </rPr>
      <t>외주가공비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Arial Unicode MS"/>
        <family val="2"/>
        <charset val="129"/>
      </rPr>
      <t>분기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래깅</t>
    </r>
    <phoneticPr fontId="2" type="noConversion"/>
  </si>
  <si>
    <r>
      <rPr>
        <sz val="10"/>
        <color theme="1"/>
        <rFont val="Arial Unicode MS"/>
        <family val="2"/>
        <charset val="129"/>
      </rPr>
      <t>외주가공비</t>
    </r>
    <phoneticPr fontId="2" type="noConversion"/>
  </si>
  <si>
    <r>
      <rPr>
        <sz val="10"/>
        <color theme="1"/>
        <rFont val="돋움"/>
        <family val="3"/>
        <charset val="129"/>
      </rPr>
      <t>재고자산</t>
    </r>
    <phoneticPr fontId="2" type="noConversion"/>
  </si>
  <si>
    <r>
      <rPr>
        <sz val="10"/>
        <color theme="1"/>
        <rFont val="돋움"/>
        <family val="3"/>
        <charset val="129"/>
      </rPr>
      <t>재고자산</t>
    </r>
  </si>
  <si>
    <r>
      <rPr>
        <sz val="10"/>
        <color theme="1"/>
        <rFont val="돋움"/>
        <family val="3"/>
        <charset val="129"/>
      </rPr>
      <t>상품</t>
    </r>
    <phoneticPr fontId="2" type="noConversion"/>
  </si>
  <si>
    <r>
      <rPr>
        <sz val="10"/>
        <color theme="1"/>
        <rFont val="돋움"/>
        <family val="3"/>
        <charset val="129"/>
      </rPr>
      <t>제품</t>
    </r>
    <phoneticPr fontId="2" type="noConversion"/>
  </si>
  <si>
    <r>
      <rPr>
        <sz val="10"/>
        <color theme="1"/>
        <rFont val="Arial Unicode MS"/>
        <family val="2"/>
        <charset val="129"/>
      </rPr>
      <t>재공품</t>
    </r>
    <r>
      <rPr>
        <sz val="10"/>
        <color theme="1"/>
        <rFont val="Arial Narrow"/>
        <family val="2"/>
      </rPr>
      <t>(</t>
    </r>
    <r>
      <rPr>
        <sz val="10"/>
        <color theme="1"/>
        <rFont val="Arial Unicode MS"/>
        <family val="2"/>
        <charset val="129"/>
      </rPr>
      <t>재고자산</t>
    </r>
    <r>
      <rPr>
        <sz val="10"/>
        <color theme="1"/>
        <rFont val="Arial Narrow"/>
        <family val="2"/>
      </rPr>
      <t>)</t>
    </r>
    <phoneticPr fontId="2" type="noConversion"/>
  </si>
  <si>
    <r>
      <rPr>
        <sz val="10"/>
        <color rgb="FF002060"/>
        <rFont val="돋움"/>
        <family val="3"/>
        <charset val="129"/>
      </rPr>
      <t>원재료</t>
    </r>
    <phoneticPr fontId="2" type="noConversion"/>
  </si>
  <si>
    <r>
      <rPr>
        <sz val="10"/>
        <color rgb="FF002060"/>
        <rFont val="굴림"/>
        <family val="2"/>
        <charset val="129"/>
      </rPr>
      <t>저장품</t>
    </r>
    <phoneticPr fontId="2" type="noConversion"/>
  </si>
  <si>
    <r>
      <rPr>
        <sz val="10"/>
        <color rgb="FF002060"/>
        <rFont val="Arial Unicode MS"/>
        <family val="2"/>
        <charset val="129"/>
      </rPr>
      <t>미착품</t>
    </r>
    <phoneticPr fontId="2" type="noConversion"/>
  </si>
  <si>
    <r>
      <rPr>
        <sz val="10"/>
        <color rgb="FF002060"/>
        <rFont val="돋움"/>
        <family val="3"/>
        <charset val="129"/>
      </rPr>
      <t>재고자산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총액</t>
    </r>
  </si>
  <si>
    <r>
      <rPr>
        <sz val="10"/>
        <color theme="1"/>
        <rFont val="돋움"/>
        <family val="3"/>
        <charset val="129"/>
      </rPr>
      <t>재고자산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회전율</t>
    </r>
  </si>
  <si>
    <r>
      <rPr>
        <sz val="10"/>
        <color theme="1"/>
        <rFont val="돋움"/>
        <family val="3"/>
        <charset val="129"/>
      </rPr>
      <t>매출채권</t>
    </r>
    <phoneticPr fontId="2" type="noConversion"/>
  </si>
  <si>
    <r>
      <rPr>
        <sz val="10"/>
        <color theme="1"/>
        <rFont val="Arial Unicode MS"/>
        <family val="2"/>
        <charset val="129"/>
      </rPr>
      <t>채권총액</t>
    </r>
    <phoneticPr fontId="2" type="noConversion"/>
  </si>
  <si>
    <r>
      <rPr>
        <sz val="10"/>
        <color theme="1"/>
        <rFont val="Arial Unicode MS"/>
        <family val="2"/>
        <charset val="129"/>
      </rPr>
      <t>대손충당금</t>
    </r>
    <phoneticPr fontId="2" type="noConversion"/>
  </si>
  <si>
    <r>
      <rPr>
        <sz val="10"/>
        <color theme="1"/>
        <rFont val="돋움"/>
        <family val="3"/>
        <charset val="129"/>
      </rPr>
      <t>매출채권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회전율</t>
    </r>
    <r>
      <rPr>
        <sz val="10"/>
        <color theme="1"/>
        <rFont val="Arial Narrow"/>
        <family val="2"/>
      </rPr>
      <t>(</t>
    </r>
    <r>
      <rPr>
        <sz val="10"/>
        <color theme="1"/>
        <rFont val="Arial Unicode MS"/>
        <family val="3"/>
        <charset val="129"/>
      </rPr>
      <t>회</t>
    </r>
    <r>
      <rPr>
        <sz val="10"/>
        <color theme="1"/>
        <rFont val="Arial Narrow"/>
        <family val="2"/>
      </rPr>
      <t>)</t>
    </r>
    <phoneticPr fontId="2" type="noConversion"/>
  </si>
  <si>
    <r>
      <rPr>
        <sz val="10"/>
        <color theme="1"/>
        <rFont val="돋움"/>
        <family val="2"/>
        <charset val="129"/>
      </rPr>
      <t>대손충당금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2"/>
        <charset val="129"/>
      </rPr>
      <t>설정율</t>
    </r>
    <r>
      <rPr>
        <sz val="10"/>
        <color theme="1"/>
        <rFont val="Arial Narrow"/>
        <family val="2"/>
      </rPr>
      <t>(%)</t>
    </r>
    <phoneticPr fontId="2" type="noConversion"/>
  </si>
  <si>
    <r>
      <rPr>
        <sz val="10"/>
        <color rgb="FF000000"/>
        <rFont val="굴림"/>
        <family val="3"/>
        <charset val="129"/>
      </rPr>
      <t>엘오티진공기술서안유한공사</t>
    </r>
    <r>
      <rPr>
        <sz val="10"/>
        <color rgb="FF000000"/>
        <rFont val="Arial Narrow"/>
        <family val="2"/>
      </rPr>
      <t>(*1)</t>
    </r>
  </si>
  <si>
    <r>
      <t>(</t>
    </r>
    <r>
      <rPr>
        <sz val="10"/>
        <color rgb="FF000000"/>
        <rFont val="굴림"/>
        <family val="3"/>
        <charset val="129"/>
      </rPr>
      <t>주</t>
    </r>
    <r>
      <rPr>
        <sz val="10"/>
        <color rgb="FF000000"/>
        <rFont val="Arial Narrow"/>
        <family val="2"/>
      </rPr>
      <t>)</t>
    </r>
    <r>
      <rPr>
        <sz val="10"/>
        <color rgb="FF000000"/>
        <rFont val="굴림"/>
        <family val="3"/>
        <charset val="129"/>
      </rPr>
      <t>에이치인베스트먼트</t>
    </r>
  </si>
  <si>
    <r>
      <rPr>
        <sz val="10"/>
        <color theme="1"/>
        <rFont val="돋움"/>
        <family val="3"/>
        <charset val="129"/>
      </rPr>
      <t>이글루시큐리티</t>
    </r>
  </si>
  <si>
    <r>
      <rPr>
        <sz val="10"/>
        <color theme="1"/>
        <rFont val="돋움"/>
        <family val="3"/>
        <charset val="129"/>
      </rPr>
      <t>파이오링크</t>
    </r>
  </si>
  <si>
    <r>
      <rPr>
        <sz val="10"/>
        <color theme="1"/>
        <rFont val="돋움"/>
        <family val="3"/>
        <charset val="129"/>
      </rPr>
      <t>윈스</t>
    </r>
  </si>
  <si>
    <r>
      <rPr>
        <sz val="10"/>
        <color theme="1"/>
        <rFont val="Arial Unicode MS"/>
        <family val="2"/>
        <charset val="129"/>
      </rPr>
      <t>플라즈마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전처리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내수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오기</t>
    </r>
    <r>
      <rPr>
        <sz val="10"/>
        <color theme="1"/>
        <rFont val="Arial Narrow"/>
        <family val="2"/>
      </rPr>
      <t xml:space="preserve">? </t>
    </r>
    <r>
      <rPr>
        <sz val="10"/>
        <color theme="1"/>
        <rFont val="Arial Unicode MS"/>
        <family val="2"/>
        <charset val="129"/>
      </rPr>
      <t>조정</t>
    </r>
    <phoneticPr fontId="2" type="noConversion"/>
  </si>
  <si>
    <r>
      <rPr>
        <sz val="10"/>
        <color theme="1"/>
        <rFont val="굴림"/>
        <family val="2"/>
        <charset val="129"/>
      </rPr>
      <t>계약부채</t>
    </r>
    <r>
      <rPr>
        <sz val="10"/>
        <color theme="1"/>
        <rFont val="Arial Narrow"/>
        <family val="2"/>
      </rPr>
      <t xml:space="preserve"> (</t>
    </r>
    <r>
      <rPr>
        <sz val="10"/>
        <color theme="1"/>
        <rFont val="Arial Unicode MS"/>
        <family val="2"/>
        <charset val="129"/>
      </rPr>
      <t>선수금</t>
    </r>
    <r>
      <rPr>
        <sz val="10"/>
        <color theme="1"/>
        <rFont val="Arial Narrow"/>
        <family val="2"/>
      </rPr>
      <t>)</t>
    </r>
    <phoneticPr fontId="2" type="noConversion"/>
  </si>
  <si>
    <r>
      <t xml:space="preserve">* </t>
    </r>
    <r>
      <rPr>
        <sz val="10"/>
        <color rgb="FFFF0000"/>
        <rFont val="Arial Unicode MS"/>
        <family val="2"/>
        <charset val="129"/>
      </rPr>
      <t>엘오티씨에스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Arial Unicode MS"/>
        <family val="2"/>
        <charset val="129"/>
      </rPr>
      <t>주영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Arial Unicode MS"/>
        <family val="2"/>
        <charset val="129"/>
      </rPr>
      <t>연결재무제표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Arial Unicode MS"/>
        <family val="2"/>
        <charset val="129"/>
      </rPr>
      <t>반영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Arial Unicode MS"/>
        <family val="2"/>
        <charset val="129"/>
      </rPr>
      <t>효과</t>
    </r>
    <phoneticPr fontId="2" type="noConversion"/>
  </si>
  <si>
    <r>
      <rPr>
        <sz val="10"/>
        <color theme="1"/>
        <rFont val="Arial Unicode MS"/>
        <family val="2"/>
        <charset val="129"/>
      </rPr>
      <t>종속기업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자산</t>
    </r>
    <phoneticPr fontId="2" type="noConversion"/>
  </si>
  <si>
    <r>
      <rPr>
        <sz val="10"/>
        <color theme="1"/>
        <rFont val="Arial Unicode MS"/>
        <family val="2"/>
        <charset val="129"/>
      </rPr>
      <t>종속기업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매출</t>
    </r>
    <phoneticPr fontId="2" type="noConversion"/>
  </si>
  <si>
    <r>
      <rPr>
        <sz val="10"/>
        <color theme="1"/>
        <rFont val="Arial Unicode MS"/>
        <family val="2"/>
        <charset val="129"/>
      </rPr>
      <t>종속기업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분기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순손익</t>
    </r>
    <phoneticPr fontId="2" type="noConversion"/>
  </si>
  <si>
    <r>
      <rPr>
        <sz val="10"/>
        <color theme="1"/>
        <rFont val="Arial Unicode MS"/>
        <family val="2"/>
        <charset val="129"/>
      </rPr>
      <t>비용의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성격별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분류</t>
    </r>
    <phoneticPr fontId="2" type="noConversion"/>
  </si>
  <si>
    <r>
      <rPr>
        <sz val="10"/>
        <color theme="1"/>
        <rFont val="Arial Unicode MS"/>
        <family val="2"/>
        <charset val="129"/>
      </rPr>
      <t>판매비와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관리비</t>
    </r>
    <phoneticPr fontId="2" type="noConversion"/>
  </si>
  <si>
    <r>
      <t> </t>
    </r>
    <r>
      <rPr>
        <sz val="10"/>
        <color rgb="FF000000"/>
        <rFont val="굴림"/>
        <family val="3"/>
        <charset val="129"/>
      </rPr>
      <t>급여</t>
    </r>
  </si>
  <si>
    <r>
      <t> </t>
    </r>
    <r>
      <rPr>
        <sz val="10"/>
        <color rgb="FF000000"/>
        <rFont val="굴림"/>
        <family val="3"/>
        <charset val="129"/>
      </rPr>
      <t>상여금</t>
    </r>
  </si>
  <si>
    <r>
      <t> </t>
    </r>
    <r>
      <rPr>
        <sz val="10"/>
        <color rgb="FF000000"/>
        <rFont val="굴림"/>
        <family val="3"/>
        <charset val="129"/>
      </rPr>
      <t>퇴직급여</t>
    </r>
  </si>
  <si>
    <r>
      <t> </t>
    </r>
    <r>
      <rPr>
        <sz val="10"/>
        <color rgb="FF000000"/>
        <rFont val="굴림"/>
        <family val="3"/>
        <charset val="129"/>
      </rPr>
      <t>복리후생비</t>
    </r>
  </si>
  <si>
    <r>
      <t> </t>
    </r>
    <r>
      <rPr>
        <sz val="10"/>
        <color rgb="FF000000"/>
        <rFont val="굴림"/>
        <family val="3"/>
        <charset val="129"/>
      </rPr>
      <t>수도광열비</t>
    </r>
  </si>
  <si>
    <r>
      <t> </t>
    </r>
    <r>
      <rPr>
        <sz val="10"/>
        <color rgb="FF000000"/>
        <rFont val="굴림"/>
        <family val="3"/>
        <charset val="129"/>
      </rPr>
      <t>지급임차료</t>
    </r>
  </si>
  <si>
    <r>
      <t> </t>
    </r>
    <r>
      <rPr>
        <sz val="10"/>
        <color rgb="FF000000"/>
        <rFont val="굴림"/>
        <family val="3"/>
        <charset val="129"/>
      </rPr>
      <t>운반비</t>
    </r>
  </si>
  <si>
    <r>
      <t> </t>
    </r>
    <r>
      <rPr>
        <sz val="10"/>
        <color rgb="FF000000"/>
        <rFont val="굴림"/>
        <family val="3"/>
        <charset val="129"/>
      </rPr>
      <t>무형자산상각비</t>
    </r>
  </si>
  <si>
    <r>
      <t> </t>
    </r>
    <r>
      <rPr>
        <sz val="10"/>
        <color rgb="FF000000"/>
        <rFont val="굴림"/>
        <family val="3"/>
        <charset val="129"/>
      </rPr>
      <t>감가상각비</t>
    </r>
  </si>
  <si>
    <r>
      <t> </t>
    </r>
    <r>
      <rPr>
        <sz val="10"/>
        <color rgb="FF000000"/>
        <rFont val="굴림"/>
        <family val="3"/>
        <charset val="129"/>
      </rPr>
      <t>수선비</t>
    </r>
  </si>
  <si>
    <r>
      <t> </t>
    </r>
    <r>
      <rPr>
        <sz val="10"/>
        <color rgb="FF000000"/>
        <rFont val="굴림"/>
        <family val="3"/>
        <charset val="129"/>
      </rPr>
      <t>소모품비</t>
    </r>
  </si>
  <si>
    <r>
      <t> </t>
    </r>
    <r>
      <rPr>
        <sz val="10"/>
        <color rgb="FF000000"/>
        <rFont val="굴림"/>
        <family val="3"/>
        <charset val="129"/>
      </rPr>
      <t>세금과공과</t>
    </r>
  </si>
  <si>
    <r>
      <t> </t>
    </r>
    <r>
      <rPr>
        <sz val="10"/>
        <color rgb="FF000000"/>
        <rFont val="굴림"/>
        <family val="3"/>
        <charset val="129"/>
      </rPr>
      <t>보험료</t>
    </r>
  </si>
  <si>
    <r>
      <t> </t>
    </r>
    <r>
      <rPr>
        <sz val="10"/>
        <color rgb="FF000000"/>
        <rFont val="굴림"/>
        <family val="3"/>
        <charset val="129"/>
      </rPr>
      <t>여비교통비</t>
    </r>
  </si>
  <si>
    <r>
      <t> </t>
    </r>
    <r>
      <rPr>
        <sz val="10"/>
        <color rgb="FF000000"/>
        <rFont val="굴림"/>
        <family val="3"/>
        <charset val="129"/>
      </rPr>
      <t>통신비</t>
    </r>
  </si>
  <si>
    <r>
      <t> </t>
    </r>
    <r>
      <rPr>
        <sz val="10"/>
        <color rgb="FF000000"/>
        <rFont val="굴림"/>
        <family val="3"/>
        <charset val="129"/>
      </rPr>
      <t>차량유지비</t>
    </r>
  </si>
  <si>
    <r>
      <t> </t>
    </r>
    <r>
      <rPr>
        <sz val="10"/>
        <color rgb="FF000000"/>
        <rFont val="굴림"/>
        <family val="3"/>
        <charset val="129"/>
      </rPr>
      <t>교육훈련비</t>
    </r>
  </si>
  <si>
    <r>
      <t> </t>
    </r>
    <r>
      <rPr>
        <sz val="10"/>
        <color rgb="FF000000"/>
        <rFont val="굴림"/>
        <family val="3"/>
        <charset val="129"/>
      </rPr>
      <t>도서인쇄비</t>
    </r>
  </si>
  <si>
    <r>
      <t> </t>
    </r>
    <r>
      <rPr>
        <sz val="10"/>
        <color rgb="FF000000"/>
        <rFont val="굴림"/>
        <family val="3"/>
        <charset val="129"/>
      </rPr>
      <t>지급수수료</t>
    </r>
  </si>
  <si>
    <r>
      <t> </t>
    </r>
    <r>
      <rPr>
        <sz val="10"/>
        <color rgb="FF000000"/>
        <rFont val="굴림"/>
        <family val="3"/>
        <charset val="129"/>
      </rPr>
      <t>경상연구개발비</t>
    </r>
  </si>
  <si>
    <r>
      <t> </t>
    </r>
    <r>
      <rPr>
        <sz val="10"/>
        <color rgb="FF000000"/>
        <rFont val="굴림"/>
        <family val="3"/>
        <charset val="129"/>
      </rPr>
      <t>대손상각비</t>
    </r>
    <r>
      <rPr>
        <sz val="10"/>
        <color rgb="FF000000"/>
        <rFont val="Arial Narrow"/>
        <family val="2"/>
      </rPr>
      <t>(</t>
    </r>
    <r>
      <rPr>
        <sz val="10"/>
        <color rgb="FF000000"/>
        <rFont val="굴림"/>
        <family val="3"/>
        <charset val="129"/>
      </rPr>
      <t>환입액</t>
    </r>
    <r>
      <rPr>
        <sz val="10"/>
        <color rgb="FF000000"/>
        <rFont val="Arial Narrow"/>
        <family val="2"/>
      </rPr>
      <t>)</t>
    </r>
  </si>
  <si>
    <r>
      <t> </t>
    </r>
    <r>
      <rPr>
        <sz val="10"/>
        <color rgb="FF000000"/>
        <rFont val="굴림"/>
        <family val="3"/>
        <charset val="129"/>
      </rPr>
      <t>제품보증비</t>
    </r>
  </si>
  <si>
    <r>
      <t> </t>
    </r>
    <r>
      <rPr>
        <sz val="10"/>
        <color rgb="FF000000"/>
        <rFont val="굴림"/>
        <family val="3"/>
        <charset val="129"/>
      </rPr>
      <t>접대비</t>
    </r>
  </si>
  <si>
    <r>
      <t> </t>
    </r>
    <r>
      <rPr>
        <sz val="10"/>
        <color rgb="FF000000"/>
        <rFont val="굴림"/>
        <family val="3"/>
        <charset val="129"/>
      </rPr>
      <t>회의비</t>
    </r>
  </si>
  <si>
    <r>
      <t> </t>
    </r>
    <r>
      <rPr>
        <sz val="10"/>
        <color rgb="FF000000"/>
        <rFont val="굴림"/>
        <family val="3"/>
        <charset val="129"/>
      </rPr>
      <t>광고선전비</t>
    </r>
  </si>
  <si>
    <r>
      <t> </t>
    </r>
    <r>
      <rPr>
        <sz val="10"/>
        <color rgb="FF000000"/>
        <rFont val="굴림"/>
        <family val="3"/>
        <charset val="129"/>
      </rPr>
      <t>주식보상비용</t>
    </r>
    <r>
      <rPr>
        <sz val="10"/>
        <color rgb="FF000000"/>
        <rFont val="Arial Narrow"/>
        <family val="2"/>
      </rPr>
      <t>(*1) </t>
    </r>
  </si>
  <si>
    <r>
      <t> </t>
    </r>
    <r>
      <rPr>
        <sz val="10"/>
        <color rgb="FF000000"/>
        <rFont val="굴림"/>
        <family val="3"/>
        <charset val="129"/>
      </rPr>
      <t>수출제비용</t>
    </r>
  </si>
  <si>
    <t>제품 보증비 / 판관비 비중 (%)</t>
    <phoneticPr fontId="2" type="noConversion"/>
  </si>
  <si>
    <t>외주가공비 / 총 비용 비중(%)</t>
    <phoneticPr fontId="2" type="noConversion"/>
  </si>
  <si>
    <t>엘오티머티리얼즈 매출액과의
상관 관계</t>
    <phoneticPr fontId="2" type="noConversion"/>
  </si>
  <si>
    <t>원재료 매입액</t>
    <phoneticPr fontId="2" type="noConversion"/>
  </si>
  <si>
    <t>생산실적</t>
    <phoneticPr fontId="2" type="noConversion"/>
  </si>
  <si>
    <t>수선보수 실적</t>
    <phoneticPr fontId="2" type="noConversion"/>
  </si>
  <si>
    <t>원재료 매입액 / 총 비용 (%)</t>
    <phoneticPr fontId="2" type="noConversion"/>
  </si>
  <si>
    <r>
      <t>GPM</t>
    </r>
    <r>
      <rPr>
        <sz val="10"/>
        <color theme="1"/>
        <rFont val="Arial Unicode MS"/>
        <family val="2"/>
        <charset val="129"/>
      </rPr>
      <t xml:space="preserve">과의 </t>
    </r>
    <r>
      <rPr>
        <sz val="10"/>
        <color theme="1"/>
        <rFont val="Arial Narrow"/>
        <family val="2"/>
      </rPr>
      <t>Correlation</t>
    </r>
    <phoneticPr fontId="2" type="noConversion"/>
  </si>
  <si>
    <r>
      <rPr>
        <sz val="10"/>
        <color theme="1"/>
        <rFont val="Arial Unicode MS"/>
        <family val="2"/>
        <charset val="129"/>
      </rPr>
      <t>매출원가율(%)과의</t>
    </r>
    <r>
      <rPr>
        <sz val="10"/>
        <color theme="1"/>
        <rFont val="Arial Narrow"/>
        <family val="2"/>
      </rPr>
      <t xml:space="preserve"> Correlation</t>
    </r>
    <phoneticPr fontId="2" type="noConversion"/>
  </si>
  <si>
    <r>
      <rPr>
        <sz val="10"/>
        <color theme="1"/>
        <rFont val="Arial Unicode MS"/>
        <family val="2"/>
        <charset val="129"/>
      </rPr>
      <t>판관비율</t>
    </r>
    <r>
      <rPr>
        <sz val="10"/>
        <color theme="1"/>
        <rFont val="Arial Narrow"/>
        <family val="2"/>
      </rPr>
      <t>(%)</t>
    </r>
    <r>
      <rPr>
        <sz val="10"/>
        <color theme="1"/>
        <rFont val="Arial Unicode MS"/>
        <family val="2"/>
        <charset val="129"/>
      </rPr>
      <t>과의</t>
    </r>
    <r>
      <rPr>
        <sz val="10"/>
        <color theme="1"/>
        <rFont val="Arial Narrow"/>
        <family val="2"/>
      </rPr>
      <t xml:space="preserve"> Correlation</t>
    </r>
    <phoneticPr fontId="2" type="noConversion"/>
  </si>
  <si>
    <t>경상 연구 개발비 / 판관비 비중 (%)</t>
    <phoneticPr fontId="2" type="noConversion"/>
  </si>
  <si>
    <r>
      <rPr>
        <sz val="10"/>
        <color rgb="FF000000"/>
        <rFont val="굴림"/>
        <family val="3"/>
        <charset val="129"/>
      </rPr>
      <t>엘오티머트리얼즈</t>
    </r>
    <r>
      <rPr>
        <sz val="10"/>
        <color rgb="FF000000"/>
        <rFont val="Arial Narrow"/>
        <family val="2"/>
      </rPr>
      <t xml:space="preserve"> </t>
    </r>
    <r>
      <rPr>
        <sz val="10"/>
        <color rgb="FF000000"/>
        <rFont val="Arial Unicode MS"/>
        <family val="2"/>
        <charset val="129"/>
      </rPr>
      <t>매출액 / 연결 매출액 (%)</t>
    </r>
    <phoneticPr fontId="2" type="noConversion"/>
  </si>
  <si>
    <t>엘오티베큠 별도 (본사) 유형 자산</t>
    <phoneticPr fontId="2" type="noConversion"/>
  </si>
  <si>
    <t>엘오티베큠 별도 (본사) 매출</t>
    <phoneticPr fontId="2" type="noConversion"/>
  </si>
  <si>
    <t>엘오티티에스 / 연결 매출액 (%)</t>
    <phoneticPr fontId="2" type="noConversion"/>
  </si>
  <si>
    <t>별도 매출액 / 연결 매출액 (%)</t>
    <phoneticPr fontId="2" type="noConversion"/>
  </si>
  <si>
    <r>
      <t xml:space="preserve">LOT VACUUM VINA </t>
    </r>
    <r>
      <rPr>
        <sz val="10"/>
        <color rgb="FFFF0000"/>
        <rFont val="Arial Unicode MS"/>
        <family val="2"/>
        <charset val="129"/>
      </rPr>
      <t>처분</t>
    </r>
    <phoneticPr fontId="2" type="noConversion"/>
  </si>
  <si>
    <r>
      <rPr>
        <sz val="10"/>
        <color rgb="FF000000"/>
        <rFont val="굴림"/>
        <family val="3"/>
        <charset val="129"/>
      </rPr>
      <t>엘오티진공기술서안유한공사</t>
    </r>
    <r>
      <rPr>
        <sz val="10"/>
        <color rgb="FF000000"/>
        <rFont val="Arial Narrow"/>
        <family val="2"/>
      </rPr>
      <t xml:space="preserve">(*1) - </t>
    </r>
    <r>
      <rPr>
        <sz val="10"/>
        <color rgb="FF000000"/>
        <rFont val="Arial Unicode MS"/>
        <family val="2"/>
        <charset val="129"/>
      </rPr>
      <t>영업. 서비스</t>
    </r>
    <phoneticPr fontId="2" type="noConversion"/>
  </si>
  <si>
    <r>
      <t xml:space="preserve">LOT VACUUM AMERICA, INC. </t>
    </r>
    <r>
      <rPr>
        <sz val="10"/>
        <color rgb="FF000000"/>
        <rFont val="Arial Unicode MS"/>
        <family val="2"/>
        <charset val="129"/>
      </rPr>
      <t>영업</t>
    </r>
    <r>
      <rPr>
        <sz val="10"/>
        <color rgb="FF000000"/>
        <rFont val="Arial Narrow"/>
        <family val="2"/>
      </rPr>
      <t xml:space="preserve">. </t>
    </r>
    <r>
      <rPr>
        <sz val="10"/>
        <color rgb="FF000000"/>
        <rFont val="Arial Unicode MS"/>
        <family val="2"/>
        <charset val="129"/>
      </rPr>
      <t>서비스</t>
    </r>
    <phoneticPr fontId="2" type="noConversion"/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</si>
  <si>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엘오티머트리얼즈</t>
    </r>
    <r>
      <rPr>
        <b/>
        <sz val="10"/>
        <color rgb="FF0070C0"/>
        <rFont val="Arial Narrow"/>
        <family val="2"/>
      </rPr>
      <t xml:space="preserve"> </t>
    </r>
    <r>
      <rPr>
        <b/>
        <sz val="10"/>
        <color rgb="FF0070C0"/>
        <rFont val="Arial Unicode MS"/>
        <family val="2"/>
        <charset val="129"/>
      </rPr>
      <t>자산</t>
    </r>
    <r>
      <rPr>
        <b/>
        <sz val="10"/>
        <color rgb="FF0070C0"/>
        <rFont val="Arial Narrow"/>
        <family val="2"/>
      </rPr>
      <t xml:space="preserve"> - </t>
    </r>
    <r>
      <rPr>
        <b/>
        <sz val="10"/>
        <color rgb="FF0070C0"/>
        <rFont val="Arial Unicode MS"/>
        <family val="2"/>
        <charset val="129"/>
      </rPr>
      <t>가공 부품 제조.판매</t>
    </r>
    <phoneticPr fontId="2" type="noConversion"/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</si>
  <si>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엘오티씨이에스</t>
    </r>
    <r>
      <rPr>
        <b/>
        <sz val="10"/>
        <color rgb="FF0070C0"/>
        <rFont val="Arial Narrow"/>
        <family val="2"/>
      </rPr>
      <t xml:space="preserve">(*2) - </t>
    </r>
    <r>
      <rPr>
        <b/>
        <sz val="10"/>
        <color rgb="FF0070C0"/>
        <rFont val="Arial Unicode MS"/>
        <family val="2"/>
        <charset val="129"/>
      </rPr>
      <t>제조.판매</t>
    </r>
    <phoneticPr fontId="2" type="noConversion"/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</si>
  <si>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엘오티티에스</t>
    </r>
    <r>
      <rPr>
        <b/>
        <sz val="10"/>
        <color rgb="FF0070C0"/>
        <rFont val="Arial Narrow"/>
        <family val="2"/>
      </rPr>
      <t xml:space="preserve"> - </t>
    </r>
    <r>
      <rPr>
        <b/>
        <sz val="10"/>
        <color rgb="FF0070C0"/>
        <rFont val="Arial Unicode MS"/>
        <family val="2"/>
        <charset val="129"/>
      </rPr>
      <t>진공펌프 수리업</t>
    </r>
    <phoneticPr fontId="2" type="noConversion"/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</si>
  <si>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엘오티머트리얼즈</t>
    </r>
    <r>
      <rPr>
        <b/>
        <sz val="10"/>
        <color rgb="FF0070C0"/>
        <rFont val="Arial Narrow"/>
        <family val="2"/>
      </rPr>
      <t xml:space="preserve"> </t>
    </r>
    <r>
      <rPr>
        <b/>
        <sz val="10"/>
        <color rgb="FF0070C0"/>
        <rFont val="Arial Unicode MS"/>
        <family val="2"/>
        <charset val="129"/>
      </rPr>
      <t>매출액</t>
    </r>
    <phoneticPr fontId="2" type="noConversion"/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</si>
  <si>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엘오티씨이에스</t>
    </r>
    <r>
      <rPr>
        <b/>
        <sz val="10"/>
        <color rgb="FF0070C0"/>
        <rFont val="Arial Narrow"/>
        <family val="2"/>
      </rPr>
      <t>(*2)</t>
    </r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</si>
  <si>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엘오티티에스</t>
    </r>
  </si>
  <si>
    <r>
      <t>(</t>
    </r>
    <r>
      <rPr>
        <b/>
        <sz val="10"/>
        <color rgb="FF0070C0"/>
        <rFont val="굴림"/>
        <family val="3"/>
        <charset val="129"/>
      </rPr>
      <t>주</t>
    </r>
    <r>
      <rPr>
        <b/>
        <sz val="10"/>
        <color rgb="FF0070C0"/>
        <rFont val="Arial Narrow"/>
        <family val="2"/>
      </rPr>
      <t>)</t>
    </r>
    <r>
      <rPr>
        <b/>
        <sz val="10"/>
        <color rgb="FF0070C0"/>
        <rFont val="굴림"/>
        <family val="3"/>
        <charset val="129"/>
      </rPr>
      <t>엘오티머트리얼즈</t>
    </r>
  </si>
  <si>
    <t>에드워드코리아 매출액</t>
    <phoneticPr fontId="2" type="noConversion"/>
  </si>
  <si>
    <t>에드워드코리아 영업이익</t>
    <phoneticPr fontId="2" type="noConversion"/>
  </si>
  <si>
    <t>에드워드코리아 OPM(%)</t>
    <phoneticPr fontId="2" type="noConversion"/>
  </si>
  <si>
    <t>엘오티베큠 매출액</t>
  </si>
  <si>
    <t>엘오티베큠 영업이익</t>
  </si>
  <si>
    <t>엘오티베큠 OPM(%)</t>
  </si>
  <si>
    <t>구  분</t>
    <phoneticPr fontId="2" type="noConversion"/>
  </si>
  <si>
    <t>엘오티베큠 / 에드워드코리아 매출액 (%)</t>
    <phoneticPr fontId="2" type="noConversion"/>
  </si>
  <si>
    <t>~22.3Q</t>
    <phoneticPr fontId="2" type="noConversion"/>
  </si>
  <si>
    <t>공장 종업원 급여</t>
    <phoneticPr fontId="2" type="noConversion"/>
  </si>
  <si>
    <t>주요 종속 기업 자산 필수</t>
    <phoneticPr fontId="2" type="noConversion"/>
  </si>
  <si>
    <t>주요 종속 기업 매출 필수</t>
    <phoneticPr fontId="2" type="noConversion"/>
  </si>
  <si>
    <t>주요 종속 기업 순손익 필수</t>
    <phoneticPr fontId="2" type="noConversion"/>
  </si>
  <si>
    <t>필수</t>
    <phoneticPr fontId="2" type="noConversion"/>
  </si>
  <si>
    <r>
      <t>&lt;&lt;</t>
    </r>
    <r>
      <rPr>
        <sz val="10"/>
        <color rgb="FFFF0000"/>
        <rFont val="돋움"/>
        <family val="3"/>
        <charset val="129"/>
      </rPr>
      <t>연결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돋움"/>
        <family val="3"/>
        <charset val="129"/>
      </rPr>
      <t>재무제표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돋움"/>
        <family val="3"/>
        <charset val="129"/>
      </rPr>
      <t>손익계산서</t>
    </r>
    <r>
      <rPr>
        <sz val="10"/>
        <color rgb="FFFF0000"/>
        <rFont val="Arial Narrow"/>
        <family val="2"/>
      </rPr>
      <t xml:space="preserve">&gt;&gt; </t>
    </r>
    <r>
      <rPr>
        <sz val="10"/>
        <color rgb="FFFF0000"/>
        <rFont val="Arial Unicode MS"/>
        <family val="2"/>
        <charset val="129"/>
      </rPr>
      <t>필수</t>
    </r>
    <phoneticPr fontId="2" type="noConversion"/>
  </si>
  <si>
    <r>
      <t>&lt;&lt;</t>
    </r>
    <r>
      <rPr>
        <sz val="10"/>
        <color rgb="FFFF0000"/>
        <rFont val="돋움"/>
        <family val="3"/>
        <charset val="129"/>
      </rPr>
      <t>연결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돋움"/>
        <family val="3"/>
        <charset val="129"/>
      </rPr>
      <t>재무제표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돋움"/>
        <family val="3"/>
        <charset val="129"/>
      </rPr>
      <t>현금흐름표</t>
    </r>
    <r>
      <rPr>
        <sz val="10"/>
        <color rgb="FFFF0000"/>
        <rFont val="Arial Narrow"/>
        <family val="2"/>
      </rPr>
      <t xml:space="preserve">&gt;&gt; </t>
    </r>
    <r>
      <rPr>
        <sz val="10"/>
        <color rgb="FFFF0000"/>
        <rFont val="Arial Unicode MS"/>
        <family val="2"/>
        <charset val="129"/>
      </rPr>
      <t>필수</t>
    </r>
    <phoneticPr fontId="2" type="noConversion"/>
  </si>
  <si>
    <t>필수 (생산능력 포함)</t>
    <phoneticPr fontId="2" type="noConversion"/>
  </si>
  <si>
    <r>
      <rPr>
        <sz val="10"/>
        <color rgb="FFFF0000"/>
        <rFont val="돋움"/>
        <family val="3"/>
        <charset val="129"/>
      </rPr>
      <t>제품별</t>
    </r>
    <r>
      <rPr>
        <sz val="10"/>
        <color rgb="FFFF0000"/>
        <rFont val="Arial Narrow"/>
        <family val="2"/>
      </rPr>
      <t xml:space="preserve"> </t>
    </r>
    <r>
      <rPr>
        <sz val="10"/>
        <color rgb="FFFF0000"/>
        <rFont val="돋움"/>
        <family val="3"/>
        <charset val="129"/>
      </rPr>
      <t>매출액</t>
    </r>
    <r>
      <rPr>
        <sz val="10"/>
        <color rgb="FFFF0000"/>
        <rFont val="Arial Narrow"/>
        <family val="2"/>
      </rPr>
      <t xml:space="preserve"> (</t>
    </r>
    <r>
      <rPr>
        <sz val="10"/>
        <color rgb="FFFF0000"/>
        <rFont val="Arial Unicode MS"/>
        <family val="2"/>
        <charset val="129"/>
      </rPr>
      <t>수출/내수 구분 필수)</t>
    </r>
    <r>
      <rPr>
        <sz val="10"/>
        <color rgb="FFFF0000"/>
        <rFont val="Arial Narrow"/>
        <family val="3"/>
        <charset val="129"/>
      </rPr>
      <t xml:space="preserve"> - </t>
    </r>
    <r>
      <rPr>
        <sz val="10"/>
        <color rgb="FFFF0000"/>
        <rFont val="Arial Unicode MS"/>
        <family val="3"/>
        <charset val="129"/>
      </rPr>
      <t>판매량 있을 경우 반도시 포함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</si>
</sst>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_-* #,##0_-;\-* #,##0_-;_-* &quot;-&quot;_-;_-@"/>
    <numFmt numFmtId="177" formatCode="0.0%"/>
    <numFmt numFmtId="178" formatCode="#,##0_ ;[Red]\-#,##0\ "/>
    <numFmt numFmtId="179" formatCode="_-* #,##0.00_-;\-* #,##0.00_-;_-* &quot;-&quot;_-;_-@"/>
    <numFmt numFmtId="180" formatCode="#,##0_);[Red]\(#,##0\)"/>
    <numFmt numFmtId="181" formatCode="0.00_);[Red]\(0.00\)"/>
    <numFmt numFmtId="182" formatCode="_-* #,##0.00_-;\-* #,##0.00_-;_-* &quot;-&quot;_-;_-@_-"/>
  </numFmts>
  <fonts count="38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sz val="11"/>
      <color indexed="8"/>
      <name val="Calibri"/>
      <family val="2"/>
      <scheme val="minor"/>
    </font>
    <font>
      <sz val="10"/>
      <color rgb="FF000000"/>
      <name val="굴림"/>
      <family val="3"/>
      <charset val="129"/>
    </font>
    <font>
      <b/>
      <sz val="10"/>
      <color theme="1"/>
      <name val="Arial Narrow"/>
      <family val="2"/>
    </font>
    <font>
      <b/>
      <sz val="10"/>
      <color theme="1"/>
      <name val="Segoe UI Symbol"/>
      <family val="3"/>
    </font>
    <font>
      <b/>
      <sz val="10"/>
      <color theme="1"/>
      <name val="Arial Unicode MS"/>
      <family val="2"/>
      <charset val="129"/>
    </font>
    <font>
      <sz val="10"/>
      <color theme="1"/>
      <name val="돋움"/>
      <family val="3"/>
      <charset val="129"/>
    </font>
    <font>
      <sz val="10"/>
      <color rgb="FF002060"/>
      <name val="Arial Narrow"/>
      <family val="2"/>
    </font>
    <font>
      <sz val="10"/>
      <color rgb="FF002060"/>
      <name val="돋움"/>
      <family val="3"/>
      <charset val="129"/>
    </font>
    <font>
      <sz val="10"/>
      <color theme="1"/>
      <name val="Arial Unicode MS"/>
      <family val="2"/>
      <charset val="129"/>
    </font>
    <font>
      <sz val="10"/>
      <name val="Arial Narrow"/>
      <family val="2"/>
    </font>
    <font>
      <sz val="10"/>
      <name val="Arial Unicode MS"/>
      <family val="2"/>
      <charset val="129"/>
    </font>
    <font>
      <sz val="10"/>
      <color rgb="FF002060"/>
      <name val="굴림"/>
      <family val="2"/>
      <charset val="129"/>
    </font>
    <font>
      <sz val="10"/>
      <color rgb="FF0070C0"/>
      <name val="Arial Narrow"/>
      <family val="2"/>
    </font>
    <font>
      <sz val="10"/>
      <color rgb="FF0070C0"/>
      <name val="Arial Unicode MS"/>
      <family val="2"/>
      <charset val="129"/>
    </font>
    <font>
      <sz val="10"/>
      <color rgb="FF002060"/>
      <name val="Arial Unicode MS"/>
      <family val="2"/>
      <charset val="129"/>
    </font>
    <font>
      <sz val="10"/>
      <color rgb="FF002060"/>
      <name val="맑은 고딕"/>
      <family val="2"/>
      <charset val="129"/>
    </font>
    <font>
      <sz val="10"/>
      <color theme="1"/>
      <name val="굴림"/>
      <family val="2"/>
      <charset val="129"/>
    </font>
    <font>
      <sz val="10"/>
      <color theme="1"/>
      <name val="Arial Unicode MS"/>
      <family val="3"/>
      <charset val="129"/>
    </font>
    <font>
      <sz val="10"/>
      <color theme="1"/>
      <name val="돋움"/>
      <family val="2"/>
      <charset val="129"/>
    </font>
    <font>
      <sz val="10"/>
      <color rgb="FFFF0000"/>
      <name val="Arial Narrow"/>
      <family val="2"/>
    </font>
    <font>
      <sz val="10"/>
      <color rgb="FFFF0000"/>
      <name val="Arial Unicode MS"/>
      <family val="2"/>
      <charset val="129"/>
    </font>
    <font>
      <sz val="10"/>
      <color rgb="FF000000"/>
      <name val="Arial Unicode MS"/>
      <family val="2"/>
      <charset val="129"/>
    </font>
    <font>
      <sz val="10"/>
      <color theme="1"/>
      <name val="Arial Narrow"/>
      <family val="2"/>
      <charset val="129"/>
    </font>
    <font>
      <sz val="10"/>
      <color rgb="FF000000"/>
      <name val="Arial Narrow"/>
      <family val="3"/>
      <charset val="129"/>
    </font>
    <font>
      <b/>
      <sz val="10"/>
      <color rgb="FF0070C0"/>
      <name val="Arial Narrow"/>
      <family val="2"/>
    </font>
    <font>
      <b/>
      <sz val="10"/>
      <color rgb="FF0070C0"/>
      <name val="굴림"/>
      <family val="3"/>
      <charset val="129"/>
    </font>
    <font>
      <b/>
      <sz val="10"/>
      <color rgb="FF0070C0"/>
      <name val="Arial Unicode MS"/>
      <family val="2"/>
      <charset val="129"/>
    </font>
    <font>
      <b/>
      <sz val="10"/>
      <color rgb="FF0070C0"/>
      <name val="굴림"/>
      <family val="2"/>
      <charset val="129"/>
    </font>
    <font>
      <b/>
      <sz val="10"/>
      <color rgb="FFFF0000"/>
      <name val="Arial Unicode MS"/>
      <family val="3"/>
      <charset val="129"/>
    </font>
    <font>
      <sz val="10"/>
      <color rgb="FFFF0000"/>
      <name val="Arial Narrow"/>
      <family val="3"/>
      <charset val="129"/>
    </font>
    <font>
      <sz val="10"/>
      <color rgb="FFFF0000"/>
      <name val="돋움"/>
      <family val="3"/>
      <charset val="129"/>
    </font>
    <font>
      <sz val="10"/>
      <color rgb="FFFF0000"/>
      <name val="Arial Unicode MS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1" fontId="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2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5" fillId="0" borderId="7" xfId="0" applyFont="1" applyBorder="1" applyAlignment="1">
      <alignment vertical="center" wrapText="1"/>
    </xf>
    <xf numFmtId="178" fontId="4" fillId="0" borderId="7" xfId="0" applyNumberFormat="1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176" fontId="4" fillId="0" borderId="0" xfId="0" applyNumberFormat="1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76" fontId="8" fillId="0" borderId="0" xfId="0" applyNumberFormat="1" applyFont="1" applyAlignment="1">
      <alignment vertical="center"/>
    </xf>
    <xf numFmtId="177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4" fillId="2" borderId="1" xfId="0" applyNumberFormat="1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vertical="center"/>
    </xf>
    <xf numFmtId="9" fontId="4" fillId="0" borderId="0" xfId="0" applyNumberFormat="1" applyFont="1" applyAlignment="1">
      <alignment vertical="center"/>
    </xf>
    <xf numFmtId="176" fontId="4" fillId="0" borderId="4" xfId="0" applyNumberFormat="1" applyFont="1" applyBorder="1" applyAlignment="1">
      <alignment vertical="center"/>
    </xf>
    <xf numFmtId="176" fontId="4" fillId="0" borderId="4" xfId="0" applyNumberFormat="1" applyFont="1" applyBorder="1" applyAlignment="1">
      <alignment horizontal="right" vertical="center" wrapText="1"/>
    </xf>
    <xf numFmtId="176" fontId="4" fillId="0" borderId="4" xfId="0" applyNumberFormat="1" applyFont="1" applyBorder="1" applyAlignment="1">
      <alignment horizontal="right" vertical="center"/>
    </xf>
    <xf numFmtId="177" fontId="4" fillId="0" borderId="4" xfId="0" applyNumberFormat="1" applyFont="1" applyBorder="1" applyAlignment="1">
      <alignment horizontal="right" vertical="center" wrapText="1"/>
    </xf>
    <xf numFmtId="177" fontId="4" fillId="0" borderId="0" xfId="2" applyNumberFormat="1" applyFont="1" applyFill="1" applyBorder="1" applyAlignment="1">
      <alignment vertical="center"/>
    </xf>
    <xf numFmtId="176" fontId="4" fillId="0" borderId="4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right" vertical="center" wrapText="1"/>
    </xf>
    <xf numFmtId="178" fontId="4" fillId="0" borderId="0" xfId="0" applyNumberFormat="1" applyFont="1" applyAlignment="1">
      <alignment vertical="center"/>
    </xf>
    <xf numFmtId="177" fontId="4" fillId="0" borderId="4" xfId="0" applyNumberFormat="1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vertical="center"/>
    </xf>
    <xf numFmtId="178" fontId="4" fillId="0" borderId="4" xfId="0" applyNumberFormat="1" applyFont="1" applyBorder="1" applyAlignment="1">
      <alignment horizontal="right" vertical="center" wrapText="1"/>
    </xf>
    <xf numFmtId="178" fontId="5" fillId="0" borderId="4" xfId="0" applyNumberFormat="1" applyFont="1" applyBorder="1" applyAlignment="1">
      <alignment horizontal="right" vertical="center" wrapText="1"/>
    </xf>
    <xf numFmtId="177" fontId="4" fillId="0" borderId="4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vertical="center"/>
    </xf>
    <xf numFmtId="178" fontId="5" fillId="0" borderId="4" xfId="0" applyNumberFormat="1" applyFont="1" applyBorder="1" applyAlignment="1">
      <alignment vertical="center"/>
    </xf>
    <xf numFmtId="0" fontId="5" fillId="0" borderId="0" xfId="0" applyFont="1" applyAlignment="1">
      <alignment vertical="center" wrapText="1"/>
    </xf>
    <xf numFmtId="3" fontId="5" fillId="0" borderId="0" xfId="0" applyNumberFormat="1" applyFont="1" applyAlignment="1">
      <alignment horizontal="right" vertical="center" wrapText="1"/>
    </xf>
    <xf numFmtId="178" fontId="4" fillId="3" borderId="4" xfId="0" applyNumberFormat="1" applyFont="1" applyFill="1" applyBorder="1" applyAlignment="1">
      <alignment vertical="center"/>
    </xf>
    <xf numFmtId="178" fontId="5" fillId="3" borderId="4" xfId="0" applyNumberFormat="1" applyFont="1" applyFill="1" applyBorder="1" applyAlignment="1">
      <alignment vertical="center"/>
    </xf>
    <xf numFmtId="176" fontId="12" fillId="0" borderId="0" xfId="0" applyNumberFormat="1" applyFont="1" applyAlignment="1">
      <alignment vertical="center"/>
    </xf>
    <xf numFmtId="176" fontId="4" fillId="2" borderId="9" xfId="0" applyNumberFormat="1" applyFont="1" applyFill="1" applyBorder="1" applyAlignment="1">
      <alignment horizontal="center" vertical="center" wrapText="1"/>
    </xf>
    <xf numFmtId="176" fontId="15" fillId="0" borderId="7" xfId="0" applyNumberFormat="1" applyFont="1" applyBorder="1" applyAlignment="1">
      <alignment vertical="center" wrapText="1"/>
    </xf>
    <xf numFmtId="41" fontId="4" fillId="0" borderId="7" xfId="1" applyFont="1" applyBorder="1" applyAlignment="1">
      <alignment vertical="center"/>
    </xf>
    <xf numFmtId="9" fontId="4" fillId="0" borderId="0" xfId="2" applyFont="1" applyAlignment="1">
      <alignment vertical="center"/>
    </xf>
    <xf numFmtId="176" fontId="12" fillId="0" borderId="7" xfId="0" applyNumberFormat="1" applyFont="1" applyBorder="1" applyAlignment="1">
      <alignment vertical="center" wrapText="1"/>
    </xf>
    <xf numFmtId="41" fontId="4" fillId="0" borderId="7" xfId="1" applyFont="1" applyFill="1" applyBorder="1" applyAlignment="1">
      <alignment vertical="center"/>
    </xf>
    <xf numFmtId="41" fontId="5" fillId="0" borderId="7" xfId="1" applyFont="1" applyFill="1" applyBorder="1" applyAlignment="1">
      <alignment vertical="center"/>
    </xf>
    <xf numFmtId="41" fontId="4" fillId="5" borderId="7" xfId="1" applyFont="1" applyFill="1" applyBorder="1" applyAlignment="1">
      <alignment vertical="center"/>
    </xf>
    <xf numFmtId="176" fontId="18" fillId="0" borderId="7" xfId="0" applyNumberFormat="1" applyFont="1" applyBorder="1" applyAlignment="1">
      <alignment vertical="center"/>
    </xf>
    <xf numFmtId="41" fontId="18" fillId="0" borderId="7" xfId="1" applyFont="1" applyBorder="1" applyAlignment="1">
      <alignment vertical="center"/>
    </xf>
    <xf numFmtId="0" fontId="5" fillId="0" borderId="0" xfId="0" applyFont="1" applyAlignment="1">
      <alignment horizontal="justify" vertical="center" wrapText="1"/>
    </xf>
    <xf numFmtId="176" fontId="18" fillId="4" borderId="7" xfId="0" applyNumberFormat="1" applyFont="1" applyFill="1" applyBorder="1" applyAlignment="1">
      <alignment vertical="center"/>
    </xf>
    <xf numFmtId="41" fontId="18" fillId="4" borderId="7" xfId="1" applyFont="1" applyFill="1" applyBorder="1" applyAlignment="1">
      <alignment vertical="center"/>
    </xf>
    <xf numFmtId="176" fontId="4" fillId="6" borderId="7" xfId="0" applyNumberFormat="1" applyFont="1" applyFill="1" applyBorder="1" applyAlignment="1">
      <alignment horizontal="center" vertical="center" wrapText="1"/>
    </xf>
    <xf numFmtId="176" fontId="12" fillId="0" borderId="7" xfId="0" applyNumberFormat="1" applyFont="1" applyBorder="1" applyAlignment="1">
      <alignment vertical="center"/>
    </xf>
    <xf numFmtId="177" fontId="4" fillId="0" borderId="7" xfId="2" applyNumberFormat="1" applyFont="1" applyBorder="1" applyAlignment="1">
      <alignment vertical="center"/>
    </xf>
    <xf numFmtId="177" fontId="4" fillId="0" borderId="7" xfId="2" applyNumberFormat="1" applyFont="1" applyBorder="1" applyAlignment="1">
      <alignment horizontal="center" vertical="center"/>
    </xf>
    <xf numFmtId="177" fontId="4" fillId="0" borderId="0" xfId="2" applyNumberFormat="1" applyFont="1" applyBorder="1" applyAlignment="1">
      <alignment horizontal="center" vertical="center"/>
    </xf>
    <xf numFmtId="41" fontId="4" fillId="0" borderId="0" xfId="1" applyFont="1" applyAlignment="1">
      <alignment vertical="center"/>
    </xf>
    <xf numFmtId="177" fontId="4" fillId="0" borderId="0" xfId="2" applyNumberFormat="1" applyFont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1" fontId="4" fillId="0" borderId="8" xfId="1" applyFont="1" applyFill="1" applyBorder="1" applyAlignment="1">
      <alignment vertical="center"/>
    </xf>
    <xf numFmtId="41" fontId="5" fillId="0" borderId="8" xfId="1" applyFont="1" applyFill="1" applyBorder="1" applyAlignment="1">
      <alignment horizontal="right" vertical="center" wrapText="1"/>
    </xf>
    <xf numFmtId="176" fontId="4" fillId="0" borderId="7" xfId="0" applyNumberFormat="1" applyFont="1" applyBorder="1" applyAlignment="1">
      <alignment vertical="center"/>
    </xf>
    <xf numFmtId="176" fontId="4" fillId="6" borderId="7" xfId="0" applyNumberFormat="1" applyFont="1" applyFill="1" applyBorder="1" applyAlignment="1">
      <alignment horizontal="center" vertical="center"/>
    </xf>
    <xf numFmtId="41" fontId="5" fillId="0" borderId="7" xfId="1" applyFont="1" applyFill="1" applyBorder="1" applyAlignment="1">
      <alignment horizontal="right" vertical="center" wrapText="1"/>
    </xf>
    <xf numFmtId="41" fontId="4" fillId="6" borderId="7" xfId="1" applyFont="1" applyFill="1" applyBorder="1" applyAlignment="1">
      <alignment vertical="center"/>
    </xf>
    <xf numFmtId="9" fontId="4" fillId="5" borderId="7" xfId="2" applyFont="1" applyFill="1" applyBorder="1" applyAlignment="1">
      <alignment horizontal="center" vertical="center"/>
    </xf>
    <xf numFmtId="9" fontId="4" fillId="0" borderId="7" xfId="2" applyFont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176" fontId="4" fillId="6" borderId="10" xfId="0" applyNumberFormat="1" applyFont="1" applyFill="1" applyBorder="1" applyAlignment="1">
      <alignment vertical="center"/>
    </xf>
    <xf numFmtId="41" fontId="5" fillId="0" borderId="7" xfId="1" applyFont="1" applyBorder="1" applyAlignment="1">
      <alignment vertical="center"/>
    </xf>
    <xf numFmtId="177" fontId="5" fillId="0" borderId="0" xfId="0" applyNumberFormat="1" applyFont="1" applyAlignment="1">
      <alignment vertical="center"/>
    </xf>
    <xf numFmtId="176" fontId="5" fillId="0" borderId="4" xfId="0" applyNumberFormat="1" applyFont="1" applyBorder="1" applyAlignment="1">
      <alignment vertical="center"/>
    </xf>
    <xf numFmtId="176" fontId="12" fillId="0" borderId="4" xfId="0" applyNumberFormat="1" applyFont="1" applyBorder="1" applyAlignment="1">
      <alignment vertical="center"/>
    </xf>
    <xf numFmtId="179" fontId="4" fillId="0" borderId="4" xfId="0" applyNumberFormat="1" applyFont="1" applyBorder="1" applyAlignment="1">
      <alignment vertical="center"/>
    </xf>
    <xf numFmtId="179" fontId="5" fillId="0" borderId="4" xfId="0" applyNumberFormat="1" applyFont="1" applyBorder="1" applyAlignment="1">
      <alignment vertical="center"/>
    </xf>
    <xf numFmtId="176" fontId="4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180" fontId="4" fillId="0" borderId="7" xfId="0" applyNumberFormat="1" applyFont="1" applyBorder="1" applyAlignment="1">
      <alignment vertical="center"/>
    </xf>
    <xf numFmtId="181" fontId="4" fillId="0" borderId="7" xfId="0" applyNumberFormat="1" applyFont="1" applyBorder="1" applyAlignment="1">
      <alignment vertical="center"/>
    </xf>
    <xf numFmtId="176" fontId="25" fillId="0" borderId="0" xfId="0" applyNumberFormat="1" applyFont="1" applyAlignment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178" fontId="25" fillId="0" borderId="7" xfId="0" applyNumberFormat="1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178" fontId="4" fillId="0" borderId="6" xfId="0" applyNumberFormat="1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176" fontId="22" fillId="0" borderId="7" xfId="0" applyNumberFormat="1" applyFont="1" applyBorder="1" applyAlignment="1">
      <alignment vertical="center"/>
    </xf>
    <xf numFmtId="176" fontId="14" fillId="0" borderId="7" xfId="0" applyNumberFormat="1" applyFont="1" applyBorder="1" applyAlignment="1">
      <alignment horizontal="center" vertical="center" wrapText="1"/>
    </xf>
    <xf numFmtId="176" fontId="22" fillId="0" borderId="0" xfId="0" applyNumberFormat="1" applyFont="1" applyAlignment="1">
      <alignment vertical="center"/>
    </xf>
    <xf numFmtId="177" fontId="4" fillId="0" borderId="0" xfId="2" applyNumberFormat="1" applyFont="1" applyBorder="1" applyAlignment="1">
      <alignment vertical="center"/>
    </xf>
    <xf numFmtId="182" fontId="4" fillId="0" borderId="0" xfId="1" applyNumberFormat="1" applyFont="1" applyBorder="1" applyAlignment="1">
      <alignment vertical="center"/>
    </xf>
    <xf numFmtId="177" fontId="4" fillId="0" borderId="0" xfId="2" applyNumberFormat="1" applyFont="1" applyAlignment="1">
      <alignment vertical="center"/>
    </xf>
    <xf numFmtId="176" fontId="28" fillId="0" borderId="0" xfId="0" applyNumberFormat="1" applyFont="1" applyAlignment="1">
      <alignment vertical="center"/>
    </xf>
    <xf numFmtId="177" fontId="4" fillId="5" borderId="0" xfId="2" applyNumberFormat="1" applyFont="1" applyFill="1" applyAlignment="1">
      <alignment vertical="center"/>
    </xf>
    <xf numFmtId="0" fontId="29" fillId="0" borderId="7" xfId="0" applyFont="1" applyBorder="1" applyAlignment="1">
      <alignment vertical="center" wrapText="1"/>
    </xf>
    <xf numFmtId="0" fontId="22" fillId="0" borderId="7" xfId="0" applyFont="1" applyBorder="1" applyAlignment="1">
      <alignment vertical="center"/>
    </xf>
    <xf numFmtId="0" fontId="22" fillId="0" borderId="0" xfId="0" applyFont="1" applyAlignment="1">
      <alignment vertical="center"/>
    </xf>
    <xf numFmtId="41" fontId="4" fillId="7" borderId="7" xfId="1" applyFont="1" applyFill="1" applyBorder="1" applyAlignment="1">
      <alignment vertical="center"/>
    </xf>
    <xf numFmtId="0" fontId="22" fillId="8" borderId="7" xfId="0" applyFont="1" applyFill="1" applyBorder="1" applyAlignment="1">
      <alignment vertical="center"/>
    </xf>
    <xf numFmtId="177" fontId="4" fillId="8" borderId="7" xfId="2" applyNumberFormat="1" applyFont="1" applyFill="1" applyBorder="1" applyAlignment="1">
      <alignment vertical="center"/>
    </xf>
    <xf numFmtId="0" fontId="29" fillId="8" borderId="7" xfId="0" applyFont="1" applyFill="1" applyBorder="1" applyAlignment="1">
      <alignment vertical="center" wrapText="1"/>
    </xf>
    <xf numFmtId="0" fontId="7" fillId="8" borderId="13" xfId="0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41" fontId="25" fillId="8" borderId="7" xfId="1" applyFont="1" applyFill="1" applyBorder="1" applyAlignment="1">
      <alignment vertical="center"/>
    </xf>
    <xf numFmtId="41" fontId="4" fillId="8" borderId="7" xfId="1" applyFont="1" applyFill="1" applyBorder="1" applyAlignment="1">
      <alignment vertical="center"/>
    </xf>
    <xf numFmtId="0" fontId="30" fillId="0" borderId="7" xfId="0" applyFont="1" applyBorder="1" applyAlignment="1">
      <alignment vertical="center" wrapText="1"/>
    </xf>
    <xf numFmtId="178" fontId="18" fillId="0" borderId="7" xfId="0" applyNumberFormat="1" applyFont="1" applyBorder="1" applyAlignment="1">
      <alignment vertical="center"/>
    </xf>
    <xf numFmtId="178" fontId="18" fillId="0" borderId="14" xfId="0" applyNumberFormat="1" applyFont="1" applyBorder="1" applyAlignment="1">
      <alignment vertical="center"/>
    </xf>
    <xf numFmtId="0" fontId="30" fillId="0" borderId="12" xfId="0" applyFont="1" applyBorder="1" applyAlignment="1">
      <alignment vertical="center" wrapText="1"/>
    </xf>
    <xf numFmtId="0" fontId="30" fillId="0" borderId="13" xfId="0" applyFont="1" applyBorder="1" applyAlignment="1">
      <alignment vertical="center" wrapText="1"/>
    </xf>
    <xf numFmtId="0" fontId="33" fillId="0" borderId="7" xfId="0" applyFont="1" applyBorder="1" applyAlignment="1">
      <alignment vertical="center"/>
    </xf>
    <xf numFmtId="176" fontId="24" fillId="0" borderId="7" xfId="0" applyNumberFormat="1" applyFont="1" applyBorder="1" applyAlignment="1">
      <alignment vertical="center"/>
    </xf>
    <xf numFmtId="176" fontId="5" fillId="0" borderId="7" xfId="0" applyNumberFormat="1" applyFont="1" applyBorder="1" applyAlignment="1">
      <alignment vertical="center"/>
    </xf>
    <xf numFmtId="176" fontId="24" fillId="8" borderId="7" xfId="0" applyNumberFormat="1" applyFont="1" applyFill="1" applyBorder="1" applyAlignment="1">
      <alignment vertical="center"/>
    </xf>
    <xf numFmtId="176" fontId="4" fillId="8" borderId="7" xfId="0" applyNumberFormat="1" applyFont="1" applyFill="1" applyBorder="1" applyAlignment="1">
      <alignment vertical="center"/>
    </xf>
    <xf numFmtId="176" fontId="5" fillId="8" borderId="7" xfId="0" applyNumberFormat="1" applyFont="1" applyFill="1" applyBorder="1" applyAlignment="1">
      <alignment vertical="center"/>
    </xf>
    <xf numFmtId="176" fontId="4" fillId="8" borderId="7" xfId="0" applyNumberFormat="1" applyFont="1" applyFill="1" applyBorder="1" applyAlignment="1">
      <alignment horizontal="center" vertical="center"/>
    </xf>
    <xf numFmtId="176" fontId="34" fillId="5" borderId="0" xfId="0" applyNumberFormat="1" applyFont="1" applyFill="1" applyAlignment="1">
      <alignment vertical="center"/>
    </xf>
    <xf numFmtId="176" fontId="35" fillId="5" borderId="0" xfId="0" applyNumberFormat="1" applyFont="1" applyFill="1" applyAlignment="1">
      <alignment vertical="center"/>
    </xf>
    <xf numFmtId="176" fontId="25" fillId="5" borderId="0" xfId="0" applyNumberFormat="1" applyFont="1" applyFill="1" applyAlignment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BD38B4EA-6493-40EB-A9C3-8A36D02486D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에드워드코리아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엘오티베큠!$B$159</c:f>
              <c:strCache>
                <c:ptCount val="1"/>
                <c:pt idx="0">
                  <c:v> 에드워드코리아 매출액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엘오티베큠!$C$159:$L$159</c:f>
              <c:numCache>
                <c:formatCode>_-* #,##0_-;\-* #,##0_-;_-* "-"_-;_-@</c:formatCode>
                <c:ptCount val="10"/>
                <c:pt idx="0">
                  <c:v>369932</c:v>
                </c:pt>
                <c:pt idx="1">
                  <c:v>426951</c:v>
                </c:pt>
                <c:pt idx="2">
                  <c:v>423689</c:v>
                </c:pt>
                <c:pt idx="3">
                  <c:v>454383</c:v>
                </c:pt>
                <c:pt idx="4">
                  <c:v>543758</c:v>
                </c:pt>
                <c:pt idx="5">
                  <c:v>720797</c:v>
                </c:pt>
                <c:pt idx="6">
                  <c:v>788181</c:v>
                </c:pt>
                <c:pt idx="7">
                  <c:v>674839</c:v>
                </c:pt>
                <c:pt idx="8">
                  <c:v>614301</c:v>
                </c:pt>
                <c:pt idx="9">
                  <c:v>851080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CA-4B65-ACC1-CCDFC717878B}"/>
            </c:ext>
          </c:extLst>
        </c:ser>
        <c:ser>
          <c:idx val="1"/>
          <c:order val="1"/>
          <c:tx>
            <c:strRef>
              <c:f>엘오티베큠!$B$160</c:f>
              <c:strCache>
                <c:ptCount val="1"/>
                <c:pt idx="0">
                  <c:v> 에드워드코리아 영업이익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엘오티베큠!$C$160:$L$160</c:f>
              <c:numCache>
                <c:formatCode>_-* #,##0_-;\-* #,##0_-;_-* "-"_-;_-@</c:formatCode>
                <c:ptCount val="10"/>
                <c:pt idx="0">
                  <c:v>34946</c:v>
                </c:pt>
                <c:pt idx="1">
                  <c:v>49055</c:v>
                </c:pt>
                <c:pt idx="2">
                  <c:v>59841</c:v>
                </c:pt>
                <c:pt idx="3">
                  <c:v>78170</c:v>
                </c:pt>
                <c:pt idx="4">
                  <c:v>95291</c:v>
                </c:pt>
                <c:pt idx="5">
                  <c:v>139535</c:v>
                </c:pt>
                <c:pt idx="6">
                  <c:v>146771</c:v>
                </c:pt>
                <c:pt idx="7">
                  <c:v>116750</c:v>
                </c:pt>
                <c:pt idx="8">
                  <c:v>-107379</c:v>
                </c:pt>
                <c:pt idx="9">
                  <c:v>108980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CA-4B65-ACC1-CCDFC7178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899141824"/>
        <c:axId val="899142240"/>
      </c:barChart>
      <c:lineChart>
        <c:grouping val="standard"/>
        <c:varyColors val="0"/>
        <c:ser>
          <c:idx val="2"/>
          <c:order val="2"/>
          <c:tx>
            <c:strRef>
              <c:f>엘오티베큠!$B$161</c:f>
              <c:strCache>
                <c:ptCount val="1"/>
                <c:pt idx="0">
                  <c:v> 에드워드코리아 OPM(%)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엘오티베큠!$C$161:$L$161</c:f>
              <c:numCache>
                <c:formatCode>0.0%</c:formatCode>
                <c:ptCount val="10"/>
                <c:pt idx="0">
                  <c:v>9.4466009969399786E-2</c:v>
                </c:pt>
                <c:pt idx="1">
                  <c:v>0.11489608877833755</c:v>
                </c:pt>
                <c:pt idx="2">
                  <c:v>0.14123803072536695</c:v>
                </c:pt>
                <c:pt idx="3">
                  <c:v>0.17203548548251146</c:v>
                </c:pt>
                <c:pt idx="4">
                  <c:v>0.1752452377712144</c:v>
                </c:pt>
                <c:pt idx="5">
                  <c:v>0.19358432401910664</c:v>
                </c:pt>
                <c:pt idx="6">
                  <c:v>0.18621484151482973</c:v>
                </c:pt>
                <c:pt idx="7">
                  <c:v>0.17300422767504545</c:v>
                </c:pt>
                <c:pt idx="8">
                  <c:v>-0.17479867361440077</c:v>
                </c:pt>
                <c:pt idx="9">
                  <c:v>0.1280490670677257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ECA-4B65-ACC1-CCDFC7178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944240"/>
        <c:axId val="94945488"/>
      </c:lineChart>
      <c:catAx>
        <c:axId val="899141824"/>
        <c:scaling>
          <c:orientation val="minMax"/>
        </c:scaling>
        <c:delete val="0"/>
        <c:axPos val="b"/>
        <c:numFmt formatCode="_-* #,##0_-;\-* #,##0_-;_-* &quot;-&quot;_-;_-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9142240"/>
        <c:crosses val="autoZero"/>
        <c:auto val="1"/>
        <c:lblAlgn val="ctr"/>
        <c:lblOffset val="100"/>
        <c:noMultiLvlLbl val="0"/>
      </c:catAx>
      <c:valAx>
        <c:axId val="899142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9141824"/>
        <c:crosses val="autoZero"/>
        <c:crossBetween val="between"/>
      </c:valAx>
      <c:valAx>
        <c:axId val="94945488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4944240"/>
        <c:crosses val="max"/>
        <c:crossBetween val="between"/>
      </c:valAx>
      <c:catAx>
        <c:axId val="94944240"/>
        <c:scaling>
          <c:orientation val="minMax"/>
        </c:scaling>
        <c:delete val="1"/>
        <c:axPos val="b"/>
        <c:numFmt formatCode="_-* #,##0_-;\-* #,##0_-;_-* &quot;-&quot;_-;_-@" sourceLinked="1"/>
        <c:majorTickMark val="out"/>
        <c:minorTickMark val="none"/>
        <c:tickLblPos val="nextTo"/>
        <c:crossAx val="949454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엘오티베큠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엘오티베큠!$B$163</c:f>
              <c:strCache>
                <c:ptCount val="1"/>
                <c:pt idx="0">
                  <c:v> 엘오티베큠 매출액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엘오티베큠!$C$158:$M$158</c:f>
              <c:strCache>
                <c:ptCount val="11"/>
                <c:pt idx="0">
                  <c:v> 12 </c:v>
                </c:pt>
                <c:pt idx="1">
                  <c:v> 13 </c:v>
                </c:pt>
                <c:pt idx="2">
                  <c:v> 14 </c:v>
                </c:pt>
                <c:pt idx="3">
                  <c:v> 15 </c:v>
                </c:pt>
                <c:pt idx="4">
                  <c:v> 16 </c:v>
                </c:pt>
                <c:pt idx="5">
                  <c:v> 17 </c:v>
                </c:pt>
                <c:pt idx="6">
                  <c:v> 18 </c:v>
                </c:pt>
                <c:pt idx="7">
                  <c:v> 19 </c:v>
                </c:pt>
                <c:pt idx="8">
                  <c:v> 20 </c:v>
                </c:pt>
                <c:pt idx="9">
                  <c:v> 21 </c:v>
                </c:pt>
                <c:pt idx="10">
                  <c:v> ~22.3Q</c:v>
                </c:pt>
              </c:strCache>
            </c:strRef>
          </c:cat>
          <c:val>
            <c:numRef>
              <c:f>엘오티베큠!$C$163:$M$163</c:f>
              <c:numCache>
                <c:formatCode>_-* #,##0_-;\-* #,##0_-;_-* "-"_-;_-@</c:formatCode>
                <c:ptCount val="11"/>
                <c:pt idx="0">
                  <c:v>72619</c:v>
                </c:pt>
                <c:pt idx="1">
                  <c:v>83757</c:v>
                </c:pt>
                <c:pt idx="2">
                  <c:v>88475</c:v>
                </c:pt>
                <c:pt idx="3">
                  <c:v>123883</c:v>
                </c:pt>
                <c:pt idx="4">
                  <c:v>124058</c:v>
                </c:pt>
                <c:pt idx="5">
                  <c:v>200745</c:v>
                </c:pt>
                <c:pt idx="6">
                  <c:v>169314</c:v>
                </c:pt>
                <c:pt idx="7">
                  <c:v>150245</c:v>
                </c:pt>
                <c:pt idx="8">
                  <c:v>171239</c:v>
                </c:pt>
                <c:pt idx="9">
                  <c:v>259596</c:v>
                </c:pt>
                <c:pt idx="10">
                  <c:v>262914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23-47D2-A36A-D43A1363C71B}"/>
            </c:ext>
          </c:extLst>
        </c:ser>
        <c:ser>
          <c:idx val="1"/>
          <c:order val="1"/>
          <c:tx>
            <c:strRef>
              <c:f>엘오티베큠!$B$164</c:f>
              <c:strCache>
                <c:ptCount val="1"/>
                <c:pt idx="0">
                  <c:v> 엘오티베큠 영업이익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엘오티베큠!$C$158:$M$158</c:f>
              <c:strCache>
                <c:ptCount val="11"/>
                <c:pt idx="0">
                  <c:v> 12 </c:v>
                </c:pt>
                <c:pt idx="1">
                  <c:v> 13 </c:v>
                </c:pt>
                <c:pt idx="2">
                  <c:v> 14 </c:v>
                </c:pt>
                <c:pt idx="3">
                  <c:v> 15 </c:v>
                </c:pt>
                <c:pt idx="4">
                  <c:v> 16 </c:v>
                </c:pt>
                <c:pt idx="5">
                  <c:v> 17 </c:v>
                </c:pt>
                <c:pt idx="6">
                  <c:v> 18 </c:v>
                </c:pt>
                <c:pt idx="7">
                  <c:v> 19 </c:v>
                </c:pt>
                <c:pt idx="8">
                  <c:v> 20 </c:v>
                </c:pt>
                <c:pt idx="9">
                  <c:v> 21 </c:v>
                </c:pt>
                <c:pt idx="10">
                  <c:v> ~22.3Q</c:v>
                </c:pt>
              </c:strCache>
            </c:strRef>
          </c:cat>
          <c:val>
            <c:numRef>
              <c:f>엘오티베큠!$C$164:$M$164</c:f>
              <c:numCache>
                <c:formatCode>_-* #,##0_-;\-* #,##0_-;_-* "-"_-;_-@</c:formatCode>
                <c:ptCount val="11"/>
                <c:pt idx="0">
                  <c:v>4937</c:v>
                </c:pt>
                <c:pt idx="1">
                  <c:v>3641</c:v>
                </c:pt>
                <c:pt idx="2">
                  <c:v>5699</c:v>
                </c:pt>
                <c:pt idx="3">
                  <c:v>10278</c:v>
                </c:pt>
                <c:pt idx="4">
                  <c:v>8579</c:v>
                </c:pt>
                <c:pt idx="5">
                  <c:v>27651</c:v>
                </c:pt>
                <c:pt idx="6">
                  <c:v>18952</c:v>
                </c:pt>
                <c:pt idx="7">
                  <c:v>-1029</c:v>
                </c:pt>
                <c:pt idx="8">
                  <c:v>4160</c:v>
                </c:pt>
                <c:pt idx="9">
                  <c:v>26361</c:v>
                </c:pt>
                <c:pt idx="10">
                  <c:v>23141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23-47D2-A36A-D43A1363C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94947984"/>
        <c:axId val="94968368"/>
      </c:barChart>
      <c:lineChart>
        <c:grouping val="standard"/>
        <c:varyColors val="0"/>
        <c:ser>
          <c:idx val="2"/>
          <c:order val="2"/>
          <c:tx>
            <c:strRef>
              <c:f>엘오티베큠!$B$165</c:f>
              <c:strCache>
                <c:ptCount val="1"/>
                <c:pt idx="0">
                  <c:v> 엘오티베큠 OPM(%)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엘오티베큠!$C$165:$M$165</c:f>
              <c:numCache>
                <c:formatCode>0.0%</c:formatCode>
                <c:ptCount val="11"/>
                <c:pt idx="0">
                  <c:v>6.7984962613090241E-2</c:v>
                </c:pt>
                <c:pt idx="1">
                  <c:v>4.3470993469202572E-2</c:v>
                </c:pt>
                <c:pt idx="2">
                  <c:v>6.4413676179711776E-2</c:v>
                </c:pt>
                <c:pt idx="3">
                  <c:v>8.2965378623378508E-2</c:v>
                </c:pt>
                <c:pt idx="4">
                  <c:v>6.915313804833223E-2</c:v>
                </c:pt>
                <c:pt idx="5">
                  <c:v>0.13774191138010911</c:v>
                </c:pt>
                <c:pt idx="6">
                  <c:v>0.1119340397131956</c:v>
                </c:pt>
                <c:pt idx="7">
                  <c:v>-6.8488136044460718E-3</c:v>
                </c:pt>
                <c:pt idx="8">
                  <c:v>2.4293531263322024E-2</c:v>
                </c:pt>
                <c:pt idx="9">
                  <c:v>0.10154624878657606</c:v>
                </c:pt>
                <c:pt idx="10">
                  <c:v>8.8017374502689094E-2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623-47D2-A36A-D43A1363C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796336"/>
        <c:axId val="207787600"/>
      </c:lineChart>
      <c:catAx>
        <c:axId val="94947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4968368"/>
        <c:crosses val="autoZero"/>
        <c:auto val="1"/>
        <c:lblAlgn val="ctr"/>
        <c:lblOffset val="100"/>
        <c:noMultiLvlLbl val="0"/>
      </c:catAx>
      <c:valAx>
        <c:axId val="9496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4947984"/>
        <c:crosses val="autoZero"/>
        <c:crossBetween val="between"/>
      </c:valAx>
      <c:valAx>
        <c:axId val="207787600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796336"/>
        <c:crosses val="max"/>
        <c:crossBetween val="between"/>
      </c:valAx>
      <c:catAx>
        <c:axId val="207796336"/>
        <c:scaling>
          <c:orientation val="minMax"/>
        </c:scaling>
        <c:delete val="1"/>
        <c:axPos val="b"/>
        <c:numFmt formatCode="_-* #,##0_-;\-* #,##0_-;_-* &quot;-&quot;_-;_-@" sourceLinked="1"/>
        <c:majorTickMark val="out"/>
        <c:minorTickMark val="none"/>
        <c:tickLblPos val="nextTo"/>
        <c:crossAx val="2077876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엘오티베큠 </a:t>
            </a:r>
            <a:r>
              <a:rPr lang="en-US" altLang="ko-KR"/>
              <a:t>- </a:t>
            </a:r>
            <a:r>
              <a:rPr lang="ko-KR" altLang="en-US"/>
              <a:t>에드워드코리아 매출액 비교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엘오티베큠!$B$159</c:f>
              <c:strCache>
                <c:ptCount val="1"/>
                <c:pt idx="0">
                  <c:v> 에드워드코리아 매출액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엘오티베큠!$C$159:$L$159</c:f>
              <c:numCache>
                <c:formatCode>_-* #,##0_-;\-* #,##0_-;_-* "-"_-;_-@</c:formatCode>
                <c:ptCount val="10"/>
                <c:pt idx="0">
                  <c:v>369932</c:v>
                </c:pt>
                <c:pt idx="1">
                  <c:v>426951</c:v>
                </c:pt>
                <c:pt idx="2">
                  <c:v>423689</c:v>
                </c:pt>
                <c:pt idx="3">
                  <c:v>454383</c:v>
                </c:pt>
                <c:pt idx="4">
                  <c:v>543758</c:v>
                </c:pt>
                <c:pt idx="5">
                  <c:v>720797</c:v>
                </c:pt>
                <c:pt idx="6">
                  <c:v>788181</c:v>
                </c:pt>
                <c:pt idx="7">
                  <c:v>674839</c:v>
                </c:pt>
                <c:pt idx="8">
                  <c:v>614301</c:v>
                </c:pt>
                <c:pt idx="9">
                  <c:v>851080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EF-4701-BE8B-B55CCFB1BFE5}"/>
            </c:ext>
          </c:extLst>
        </c:ser>
        <c:ser>
          <c:idx val="1"/>
          <c:order val="1"/>
          <c:tx>
            <c:strRef>
              <c:f>엘오티베큠!$B$163</c:f>
              <c:strCache>
                <c:ptCount val="1"/>
                <c:pt idx="0">
                  <c:v> 엘오티베큠 매출액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엘오티베큠!$C$163:$L$163</c:f>
              <c:numCache>
                <c:formatCode>_-* #,##0_-;\-* #,##0_-;_-* "-"_-;_-@</c:formatCode>
                <c:ptCount val="10"/>
                <c:pt idx="0">
                  <c:v>72619</c:v>
                </c:pt>
                <c:pt idx="1">
                  <c:v>83757</c:v>
                </c:pt>
                <c:pt idx="2">
                  <c:v>88475</c:v>
                </c:pt>
                <c:pt idx="3">
                  <c:v>123883</c:v>
                </c:pt>
                <c:pt idx="4">
                  <c:v>124058</c:v>
                </c:pt>
                <c:pt idx="5">
                  <c:v>200745</c:v>
                </c:pt>
                <c:pt idx="6">
                  <c:v>169314</c:v>
                </c:pt>
                <c:pt idx="7">
                  <c:v>150245</c:v>
                </c:pt>
                <c:pt idx="8">
                  <c:v>171239</c:v>
                </c:pt>
                <c:pt idx="9">
                  <c:v>259596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EF-4701-BE8B-B55CCFB1B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7710640"/>
        <c:axId val="207709392"/>
      </c:barChart>
      <c:lineChart>
        <c:grouping val="standard"/>
        <c:varyColors val="0"/>
        <c:ser>
          <c:idx val="2"/>
          <c:order val="2"/>
          <c:tx>
            <c:strRef>
              <c:f>엘오티베큠!$B$167</c:f>
              <c:strCache>
                <c:ptCount val="1"/>
                <c:pt idx="0">
                  <c:v> 엘오티베큠 / 에드워드코리아 매출액 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엘오티베큠!$C$158:$L$158</c:f>
              <c:numCache>
                <c:formatCode>_-* #,##0_-;\-* #,##0_-;_-* "-"_-;_-@</c:formatCode>
                <c:ptCount val="1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</c:numCache>
            </c:numRef>
          </c:cat>
          <c:val>
            <c:numRef>
              <c:f>엘오티베큠!$C$167:$L$167</c:f>
              <c:numCache>
                <c:formatCode>0.0%</c:formatCode>
                <c:ptCount val="10"/>
                <c:pt idx="0">
                  <c:v>0.19630364499421515</c:v>
                </c:pt>
                <c:pt idx="1">
                  <c:v>0.19617473667938476</c:v>
                </c:pt>
                <c:pt idx="2">
                  <c:v>0.20882062078552902</c:v>
                </c:pt>
                <c:pt idx="3">
                  <c:v>0.27264004155085025</c:v>
                </c:pt>
                <c:pt idx="4">
                  <c:v>0.22814928699899586</c:v>
                </c:pt>
                <c:pt idx="5">
                  <c:v>0.27850421131053543</c:v>
                </c:pt>
                <c:pt idx="6">
                  <c:v>0.21481613994755011</c:v>
                </c:pt>
                <c:pt idx="7">
                  <c:v>0.22263828853993323</c:v>
                </c:pt>
                <c:pt idx="8">
                  <c:v>0.27875422634832109</c:v>
                </c:pt>
                <c:pt idx="9">
                  <c:v>0.30501950462941202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CEF-4701-BE8B-B55CCFB1B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977104"/>
        <c:axId val="94971696"/>
      </c:lineChart>
      <c:catAx>
        <c:axId val="207710640"/>
        <c:scaling>
          <c:orientation val="minMax"/>
        </c:scaling>
        <c:delete val="0"/>
        <c:axPos val="b"/>
        <c:numFmt formatCode="_-* #,##0_-;\-* #,##0_-;_-* &quot;-&quot;_-;_-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709392"/>
        <c:crosses val="autoZero"/>
        <c:auto val="1"/>
        <c:lblAlgn val="ctr"/>
        <c:lblOffset val="100"/>
        <c:noMultiLvlLbl val="0"/>
      </c:catAx>
      <c:valAx>
        <c:axId val="207709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710640"/>
        <c:crosses val="autoZero"/>
        <c:crossBetween val="between"/>
      </c:valAx>
      <c:valAx>
        <c:axId val="94971696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4977104"/>
        <c:crosses val="max"/>
        <c:crossBetween val="between"/>
      </c:valAx>
      <c:catAx>
        <c:axId val="94977104"/>
        <c:scaling>
          <c:orientation val="minMax"/>
        </c:scaling>
        <c:delete val="1"/>
        <c:axPos val="b"/>
        <c:numFmt formatCode="_-* #,##0_-;\-* #,##0_-;_-* &quot;-&quot;_-;_-@" sourceLinked="1"/>
        <c:majorTickMark val="out"/>
        <c:minorTickMark val="none"/>
        <c:tickLblPos val="nextTo"/>
        <c:crossAx val="9497169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엘오티베큠!$C$6:$Y$6</c:f>
              <c:numCache>
                <c:formatCode>_-* #,##0_-;\-* #,##0_-;_-* "-"_-;_-@</c:formatCode>
                <c:ptCount val="23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83-4BE4-B035-966099393159}"/>
            </c:ext>
          </c:extLst>
        </c:ser>
        <c:ser>
          <c:idx val="1"/>
          <c:order val="1"/>
          <c:tx>
            <c:strRef>
              <c:f>엘오티베큠!$B$13</c:f>
              <c:strCache>
                <c:ptCount val="1"/>
                <c:pt idx="0">
                  <c:v> 영업이익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엘오티베큠!$C$13:$Y$13</c:f>
              <c:numCache>
                <c:formatCode>#,##0_ ;[Red]\-#,##0\ </c:formatCode>
                <c:ptCount val="23"/>
                <c:pt idx="0">
                  <c:v>5096</c:v>
                </c:pt>
                <c:pt idx="1">
                  <c:v>11441</c:v>
                </c:pt>
                <c:pt idx="2">
                  <c:v>7229</c:v>
                </c:pt>
                <c:pt idx="3">
                  <c:v>3887</c:v>
                </c:pt>
                <c:pt idx="4">
                  <c:v>9146</c:v>
                </c:pt>
                <c:pt idx="5">
                  <c:v>8422</c:v>
                </c:pt>
                <c:pt idx="6">
                  <c:v>1063</c:v>
                </c:pt>
                <c:pt idx="7">
                  <c:v>322</c:v>
                </c:pt>
                <c:pt idx="8">
                  <c:v>513</c:v>
                </c:pt>
                <c:pt idx="9">
                  <c:v>-522</c:v>
                </c:pt>
                <c:pt idx="10">
                  <c:v>-1030</c:v>
                </c:pt>
                <c:pt idx="11">
                  <c:v>10</c:v>
                </c:pt>
                <c:pt idx="12">
                  <c:v>8035</c:v>
                </c:pt>
                <c:pt idx="13">
                  <c:v>4004</c:v>
                </c:pt>
                <c:pt idx="14">
                  <c:v>-3437</c:v>
                </c:pt>
                <c:pt idx="15">
                  <c:v>-4441</c:v>
                </c:pt>
                <c:pt idx="16">
                  <c:v>10868</c:v>
                </c:pt>
                <c:pt idx="17">
                  <c:v>8565</c:v>
                </c:pt>
                <c:pt idx="18">
                  <c:v>5235</c:v>
                </c:pt>
                <c:pt idx="19">
                  <c:v>1694</c:v>
                </c:pt>
                <c:pt idx="20">
                  <c:v>4983</c:v>
                </c:pt>
                <c:pt idx="21">
                  <c:v>6194</c:v>
                </c:pt>
                <c:pt idx="22">
                  <c:v>11964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83-4BE4-B035-966099393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10193199"/>
        <c:axId val="1610192367"/>
      </c:barChart>
      <c:lineChart>
        <c:grouping val="standard"/>
        <c:varyColors val="0"/>
        <c:ser>
          <c:idx val="2"/>
          <c:order val="2"/>
          <c:tx>
            <c:strRef>
              <c:f>엘오티베큠!$B$14</c:f>
              <c:strCache>
                <c:ptCount val="1"/>
                <c:pt idx="0">
                  <c:v> OPM(%)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엘오티베큠!$C$14:$Y$14</c:f>
              <c:numCache>
                <c:formatCode>0.0%</c:formatCode>
                <c:ptCount val="23"/>
                <c:pt idx="0">
                  <c:v>0.12241760353608148</c:v>
                </c:pt>
                <c:pt idx="1">
                  <c:v>0.17003031744144573</c:v>
                </c:pt>
                <c:pt idx="2">
                  <c:v>0.15110470098869172</c:v>
                </c:pt>
                <c:pt idx="3">
                  <c:v>8.8365008638719655E-2</c:v>
                </c:pt>
                <c:pt idx="4">
                  <c:v>0.17673429951690822</c:v>
                </c:pt>
                <c:pt idx="5">
                  <c:v>0.15900166138045613</c:v>
                </c:pt>
                <c:pt idx="6">
                  <c:v>3.5878223302281624E-2</c:v>
                </c:pt>
                <c:pt idx="7">
                  <c:v>9.2084191260581108E-3</c:v>
                </c:pt>
                <c:pt idx="8">
                  <c:v>1.4189693801344288E-2</c:v>
                </c:pt>
                <c:pt idx="9">
                  <c:v>-1.6548313466903372E-2</c:v>
                </c:pt>
                <c:pt idx="10">
                  <c:v>-2.9085364131815998E-2</c:v>
                </c:pt>
                <c:pt idx="11">
                  <c:v>2.1215657154980376E-4</c:v>
                </c:pt>
                <c:pt idx="12">
                  <c:v>0.14648508714358638</c:v>
                </c:pt>
                <c:pt idx="13">
                  <c:v>9.6053736356003352E-2</c:v>
                </c:pt>
                <c:pt idx="14">
                  <c:v>-7.9922797879267052E-2</c:v>
                </c:pt>
                <c:pt idx="15">
                  <c:v>-0.14010347656003533</c:v>
                </c:pt>
                <c:pt idx="16">
                  <c:v>0.14948283450704225</c:v>
                </c:pt>
                <c:pt idx="17">
                  <c:v>0.10997265128461924</c:v>
                </c:pt>
                <c:pt idx="18">
                  <c:v>0.10201695410698626</c:v>
                </c:pt>
                <c:pt idx="19">
                  <c:v>2.936180538704198E-2</c:v>
                </c:pt>
                <c:pt idx="20">
                  <c:v>6.6396620874362086E-2</c:v>
                </c:pt>
                <c:pt idx="21">
                  <c:v>7.3562071709362117E-2</c:v>
                </c:pt>
                <c:pt idx="22">
                  <c:v>0.11541132890878222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83-4BE4-B035-966099393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283791"/>
        <c:axId val="175268399"/>
      </c:lineChart>
      <c:catAx>
        <c:axId val="161019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10192367"/>
        <c:crosses val="autoZero"/>
        <c:auto val="1"/>
        <c:lblAlgn val="ctr"/>
        <c:lblOffset val="100"/>
        <c:noMultiLvlLbl val="0"/>
      </c:catAx>
      <c:valAx>
        <c:axId val="1610192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10193199"/>
        <c:crosses val="autoZero"/>
        <c:crossBetween val="between"/>
      </c:valAx>
      <c:valAx>
        <c:axId val="175268399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5283791"/>
        <c:crosses val="max"/>
        <c:crossBetween val="between"/>
      </c:valAx>
      <c:catAx>
        <c:axId val="175283791"/>
        <c:scaling>
          <c:orientation val="minMax"/>
        </c:scaling>
        <c:delete val="1"/>
        <c:axPos val="b"/>
        <c:majorTickMark val="out"/>
        <c:minorTickMark val="none"/>
        <c:tickLblPos val="nextTo"/>
        <c:crossAx val="17526839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126161456577037E-2"/>
          <c:y val="9.2384655633590607E-2"/>
          <c:w val="0.87351710772170954"/>
          <c:h val="0.7588892222024188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엘오티베큠!$C$6:$Y$6</c:f>
              <c:numCache>
                <c:formatCode>_-* #,##0_-;\-* #,##0_-;_-* "-"_-;_-@</c:formatCode>
                <c:ptCount val="23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EB-48D3-BF18-AA81E24C3A4B}"/>
            </c:ext>
          </c:extLst>
        </c:ser>
        <c:ser>
          <c:idx val="3"/>
          <c:order val="3"/>
          <c:tx>
            <c:strRef>
              <c:f>엘오티베큠!$B$11</c:f>
              <c:strCache>
                <c:ptCount val="1"/>
                <c:pt idx="0">
                  <c:v> 판관비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엘오티베큠!$C$11:$Y$11</c:f>
              <c:numCache>
                <c:formatCode>_-* #,##0_-;\-* #,##0_-;_-* "-"_-;_-@</c:formatCode>
                <c:ptCount val="23"/>
                <c:pt idx="0">
                  <c:v>7867</c:v>
                </c:pt>
                <c:pt idx="1">
                  <c:v>8587</c:v>
                </c:pt>
                <c:pt idx="2">
                  <c:v>8737</c:v>
                </c:pt>
                <c:pt idx="3">
                  <c:v>9420</c:v>
                </c:pt>
                <c:pt idx="4">
                  <c:v>10493</c:v>
                </c:pt>
                <c:pt idx="5">
                  <c:v>9520</c:v>
                </c:pt>
                <c:pt idx="6">
                  <c:v>9610</c:v>
                </c:pt>
                <c:pt idx="7">
                  <c:v>10903</c:v>
                </c:pt>
                <c:pt idx="8">
                  <c:v>10863</c:v>
                </c:pt>
                <c:pt idx="9">
                  <c:v>10624</c:v>
                </c:pt>
                <c:pt idx="10">
                  <c:v>11137</c:v>
                </c:pt>
                <c:pt idx="11">
                  <c:v>11939</c:v>
                </c:pt>
                <c:pt idx="12">
                  <c:v>11637</c:v>
                </c:pt>
                <c:pt idx="13">
                  <c:v>10637</c:v>
                </c:pt>
                <c:pt idx="14">
                  <c:v>11350</c:v>
                </c:pt>
                <c:pt idx="15">
                  <c:v>15750</c:v>
                </c:pt>
                <c:pt idx="16">
                  <c:v>16004</c:v>
                </c:pt>
                <c:pt idx="17">
                  <c:v>19318</c:v>
                </c:pt>
                <c:pt idx="18">
                  <c:v>15136</c:v>
                </c:pt>
                <c:pt idx="19">
                  <c:v>19833</c:v>
                </c:pt>
                <c:pt idx="20">
                  <c:v>19831</c:v>
                </c:pt>
                <c:pt idx="21">
                  <c:v>24100</c:v>
                </c:pt>
                <c:pt idx="22">
                  <c:v>25553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7E-42A6-A4ED-947CAD360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4325391"/>
        <c:axId val="264342863"/>
      </c:barChart>
      <c:lineChart>
        <c:grouping val="standard"/>
        <c:varyColors val="0"/>
        <c:ser>
          <c:idx val="1"/>
          <c:order val="1"/>
          <c:tx>
            <c:strRef>
              <c:f>엘오티베큠!$B$10</c:f>
              <c:strCache>
                <c:ptCount val="1"/>
                <c:pt idx="0">
                  <c:v> GPM(%)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엘오티베큠!$C$10:$Y$10</c:f>
              <c:numCache>
                <c:formatCode>0.0%</c:formatCode>
                <c:ptCount val="23"/>
                <c:pt idx="0">
                  <c:v>0.31140098010954165</c:v>
                </c:pt>
                <c:pt idx="1">
                  <c:v>0.29764593984068483</c:v>
                </c:pt>
                <c:pt idx="2">
                  <c:v>0.33373048222236157</c:v>
                </c:pt>
                <c:pt idx="3">
                  <c:v>0.30251432208784212</c:v>
                </c:pt>
                <c:pt idx="4">
                  <c:v>0.3794975845410628</c:v>
                </c:pt>
                <c:pt idx="5">
                  <c:v>0.33873281981573783</c:v>
                </c:pt>
                <c:pt idx="6">
                  <c:v>0.36023356284595653</c:v>
                </c:pt>
                <c:pt idx="7">
                  <c:v>0.32100777854037976</c:v>
                </c:pt>
                <c:pt idx="8">
                  <c:v>0.31466268359472244</c:v>
                </c:pt>
                <c:pt idx="9">
                  <c:v>0.32025107785949786</c:v>
                </c:pt>
                <c:pt idx="10">
                  <c:v>0.28540366532064498</c:v>
                </c:pt>
                <c:pt idx="11">
                  <c:v>0.25350588734486051</c:v>
                </c:pt>
                <c:pt idx="12">
                  <c:v>0.35863778895938159</c:v>
                </c:pt>
                <c:pt idx="13">
                  <c:v>0.35122945903802327</c:v>
                </c:pt>
                <c:pt idx="14">
                  <c:v>0.18400613896381732</c:v>
                </c:pt>
                <c:pt idx="15">
                  <c:v>0.35677329799987378</c:v>
                </c:pt>
                <c:pt idx="16">
                  <c:v>0.36960827464788731</c:v>
                </c:pt>
                <c:pt idx="17">
                  <c:v>0.3580113760384166</c:v>
                </c:pt>
                <c:pt idx="18">
                  <c:v>0.39697944070934427</c:v>
                </c:pt>
                <c:pt idx="19">
                  <c:v>0.37312372170416336</c:v>
                </c:pt>
                <c:pt idx="20">
                  <c:v>0.33063731695292409</c:v>
                </c:pt>
                <c:pt idx="21">
                  <c:v>0.35978195033313143</c:v>
                </c:pt>
                <c:pt idx="22">
                  <c:v>0.36190963111591296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EB-48D3-BF18-AA81E24C3A4B}"/>
            </c:ext>
          </c:extLst>
        </c:ser>
        <c:ser>
          <c:idx val="2"/>
          <c:order val="2"/>
          <c:tx>
            <c:strRef>
              <c:f>엘오티베큠!$B$12</c:f>
              <c:strCache>
                <c:ptCount val="1"/>
                <c:pt idx="0">
                  <c:v>  판관비율(%)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엘오티베큠!$C$12:$Y$12</c:f>
              <c:numCache>
                <c:formatCode>0.0%</c:formatCode>
                <c:ptCount val="23"/>
                <c:pt idx="0">
                  <c:v>0.18898337657346018</c:v>
                </c:pt>
                <c:pt idx="1">
                  <c:v>0.1276156223992391</c:v>
                </c:pt>
                <c:pt idx="2">
                  <c:v>0.18262578123366988</c:v>
                </c:pt>
                <c:pt idx="3">
                  <c:v>0.2141493134491225</c:v>
                </c:pt>
                <c:pt idx="4">
                  <c:v>0.20276328502415458</c:v>
                </c:pt>
                <c:pt idx="5">
                  <c:v>0.17973115843528167</c:v>
                </c:pt>
                <c:pt idx="6">
                  <c:v>0.3243553395436749</c:v>
                </c:pt>
                <c:pt idx="7">
                  <c:v>0.31179935941432169</c:v>
                </c:pt>
                <c:pt idx="8">
                  <c:v>0.30047298979337816</c:v>
                </c:pt>
                <c:pt idx="9">
                  <c:v>0.33679939132640124</c:v>
                </c:pt>
                <c:pt idx="10">
                  <c:v>0.31448902945246093</c:v>
                </c:pt>
                <c:pt idx="11">
                  <c:v>0.25329373077331069</c:v>
                </c:pt>
                <c:pt idx="12">
                  <c:v>0.21215270181579524</c:v>
                </c:pt>
                <c:pt idx="13">
                  <c:v>0.25517572268201993</c:v>
                </c:pt>
                <c:pt idx="14">
                  <c:v>0.26392893684308438</c:v>
                </c:pt>
                <c:pt idx="15">
                  <c:v>0.49687677455990914</c:v>
                </c:pt>
                <c:pt idx="16">
                  <c:v>0.22012544014084506</c:v>
                </c:pt>
                <c:pt idx="17">
                  <c:v>0.24803872475379737</c:v>
                </c:pt>
                <c:pt idx="18">
                  <c:v>0.29496248660235797</c:v>
                </c:pt>
                <c:pt idx="19">
                  <c:v>0.34376191631712139</c:v>
                </c:pt>
                <c:pt idx="20">
                  <c:v>0.26424069607856199</c:v>
                </c:pt>
                <c:pt idx="21">
                  <c:v>0.2862198786237693</c:v>
                </c:pt>
                <c:pt idx="22">
                  <c:v>0.24649830220713073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EB-48D3-BF18-AA81E24C3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475823"/>
        <c:axId val="175465839"/>
      </c:lineChart>
      <c:catAx>
        <c:axId val="264325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64342863"/>
        <c:crosses val="autoZero"/>
        <c:auto val="1"/>
        <c:lblAlgn val="ctr"/>
        <c:lblOffset val="100"/>
        <c:noMultiLvlLbl val="0"/>
      </c:catAx>
      <c:valAx>
        <c:axId val="264342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64325391"/>
        <c:crosses val="autoZero"/>
        <c:crossBetween val="between"/>
      </c:valAx>
      <c:valAx>
        <c:axId val="175465839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5475823"/>
        <c:crosses val="max"/>
        <c:crossBetween val="between"/>
      </c:valAx>
      <c:catAx>
        <c:axId val="17547582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546583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엘오티베큠!$B$17</c:f>
              <c:strCache>
                <c:ptCount val="1"/>
                <c:pt idx="0">
                  <c:v> OCF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엘오티베큠!$C$17:$Y$17</c:f>
              <c:numCache>
                <c:formatCode>#,##0_ ;[Red]\-#,##0\ </c:formatCode>
                <c:ptCount val="23"/>
                <c:pt idx="0">
                  <c:v>-2084</c:v>
                </c:pt>
                <c:pt idx="1">
                  <c:v>13342</c:v>
                </c:pt>
                <c:pt idx="2">
                  <c:v>19503</c:v>
                </c:pt>
                <c:pt idx="3" formatCode="_-* #,##0_-;\-* #,##0_-;_-* &quot;-&quot;_-;_-@">
                  <c:v>8322</c:v>
                </c:pt>
                <c:pt idx="4">
                  <c:v>10847</c:v>
                </c:pt>
                <c:pt idx="5">
                  <c:v>2284</c:v>
                </c:pt>
                <c:pt idx="6">
                  <c:v>2180</c:v>
                </c:pt>
                <c:pt idx="7">
                  <c:v>1742</c:v>
                </c:pt>
                <c:pt idx="8">
                  <c:v>-6646</c:v>
                </c:pt>
                <c:pt idx="9">
                  <c:v>2609</c:v>
                </c:pt>
                <c:pt idx="10">
                  <c:v>-9424</c:v>
                </c:pt>
                <c:pt idx="11">
                  <c:v>9002</c:v>
                </c:pt>
                <c:pt idx="12">
                  <c:v>16553</c:v>
                </c:pt>
                <c:pt idx="13">
                  <c:v>4861</c:v>
                </c:pt>
                <c:pt idx="14">
                  <c:v>5953</c:v>
                </c:pt>
                <c:pt idx="15">
                  <c:v>-1916</c:v>
                </c:pt>
                <c:pt idx="16">
                  <c:v>-4081</c:v>
                </c:pt>
                <c:pt idx="17">
                  <c:v>5137</c:v>
                </c:pt>
                <c:pt idx="18">
                  <c:v>21519</c:v>
                </c:pt>
                <c:pt idx="19">
                  <c:v>914</c:v>
                </c:pt>
                <c:pt idx="20">
                  <c:v>-6406</c:v>
                </c:pt>
                <c:pt idx="21">
                  <c:v>13593</c:v>
                </c:pt>
                <c:pt idx="22">
                  <c:v>3090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A6-4490-8FF8-C1EC005E1D33}"/>
            </c:ext>
          </c:extLst>
        </c:ser>
        <c:ser>
          <c:idx val="2"/>
          <c:order val="2"/>
          <c:tx>
            <c:strRef>
              <c:f>엘오티베큠!$B$19</c:f>
              <c:strCache>
                <c:ptCount val="1"/>
                <c:pt idx="0">
                  <c:v> FCF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엘오티베큠!$C$19:$Y$19</c:f>
              <c:numCache>
                <c:formatCode>#,##0_ ;[Red]\-#,##0\ </c:formatCode>
                <c:ptCount val="23"/>
                <c:pt idx="0">
                  <c:v>-4099</c:v>
                </c:pt>
                <c:pt idx="1">
                  <c:v>11925</c:v>
                </c:pt>
                <c:pt idx="2">
                  <c:v>16862</c:v>
                </c:pt>
                <c:pt idx="3">
                  <c:v>7934</c:v>
                </c:pt>
                <c:pt idx="4">
                  <c:v>6582</c:v>
                </c:pt>
                <c:pt idx="5">
                  <c:v>-1102</c:v>
                </c:pt>
                <c:pt idx="6">
                  <c:v>-5608</c:v>
                </c:pt>
                <c:pt idx="7">
                  <c:v>-9330</c:v>
                </c:pt>
                <c:pt idx="8">
                  <c:v>-14470</c:v>
                </c:pt>
                <c:pt idx="9">
                  <c:v>-7764</c:v>
                </c:pt>
                <c:pt idx="10">
                  <c:v>-4017</c:v>
                </c:pt>
                <c:pt idx="11">
                  <c:v>473</c:v>
                </c:pt>
                <c:pt idx="12">
                  <c:v>9900</c:v>
                </c:pt>
                <c:pt idx="13">
                  <c:v>7648</c:v>
                </c:pt>
                <c:pt idx="14">
                  <c:v>4117</c:v>
                </c:pt>
                <c:pt idx="15">
                  <c:v>-3437</c:v>
                </c:pt>
                <c:pt idx="16">
                  <c:v>-5102</c:v>
                </c:pt>
                <c:pt idx="17">
                  <c:v>3690</c:v>
                </c:pt>
                <c:pt idx="18">
                  <c:v>14154</c:v>
                </c:pt>
                <c:pt idx="19">
                  <c:v>-1598</c:v>
                </c:pt>
                <c:pt idx="20">
                  <c:v>-8378</c:v>
                </c:pt>
                <c:pt idx="21">
                  <c:v>11295</c:v>
                </c:pt>
                <c:pt idx="22">
                  <c:v>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A6-4490-8FF8-C1EC005E1D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69543103"/>
        <c:axId val="269568063"/>
      </c:barChart>
      <c:lineChart>
        <c:grouping val="standard"/>
        <c:varyColors val="0"/>
        <c:ser>
          <c:idx val="1"/>
          <c:order val="1"/>
          <c:tx>
            <c:strRef>
              <c:f>엘오티베큠!$B$18</c:f>
              <c:strCache>
                <c:ptCount val="1"/>
                <c:pt idx="0">
                  <c:v> CAPEX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엘오티베큠!$C$18:$Y$18</c:f>
              <c:numCache>
                <c:formatCode>#,##0_ ;[Red]\-#,##0\ </c:formatCode>
                <c:ptCount val="23"/>
                <c:pt idx="0">
                  <c:v>2015</c:v>
                </c:pt>
                <c:pt idx="1">
                  <c:v>1417</c:v>
                </c:pt>
                <c:pt idx="2">
                  <c:v>2641</c:v>
                </c:pt>
                <c:pt idx="3">
                  <c:v>388</c:v>
                </c:pt>
                <c:pt idx="4">
                  <c:v>4265</c:v>
                </c:pt>
                <c:pt idx="5">
                  <c:v>3386</c:v>
                </c:pt>
                <c:pt idx="6">
                  <c:v>7788</c:v>
                </c:pt>
                <c:pt idx="7">
                  <c:v>11072</c:v>
                </c:pt>
                <c:pt idx="8">
                  <c:v>7824</c:v>
                </c:pt>
                <c:pt idx="9">
                  <c:v>10373</c:v>
                </c:pt>
                <c:pt idx="10">
                  <c:v>-5407</c:v>
                </c:pt>
                <c:pt idx="11">
                  <c:v>8529</c:v>
                </c:pt>
                <c:pt idx="12">
                  <c:v>6653</c:v>
                </c:pt>
                <c:pt idx="13">
                  <c:v>-2787</c:v>
                </c:pt>
                <c:pt idx="14">
                  <c:v>1836</c:v>
                </c:pt>
                <c:pt idx="15">
                  <c:v>1521</c:v>
                </c:pt>
                <c:pt idx="16">
                  <c:v>1021</c:v>
                </c:pt>
                <c:pt idx="17">
                  <c:v>1447</c:v>
                </c:pt>
                <c:pt idx="18">
                  <c:v>7365</c:v>
                </c:pt>
                <c:pt idx="19">
                  <c:v>2512</c:v>
                </c:pt>
                <c:pt idx="20">
                  <c:v>1972</c:v>
                </c:pt>
                <c:pt idx="21">
                  <c:v>2298</c:v>
                </c:pt>
                <c:pt idx="22">
                  <c:v>2586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9A6-4490-8FF8-C1EC005E1D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9543103"/>
        <c:axId val="269568063"/>
      </c:lineChart>
      <c:catAx>
        <c:axId val="2695431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69568063"/>
        <c:crosses val="autoZero"/>
        <c:auto val="1"/>
        <c:lblAlgn val="ctr"/>
        <c:lblOffset val="100"/>
        <c:noMultiLvlLbl val="0"/>
      </c:catAx>
      <c:valAx>
        <c:axId val="269568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69543103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</c:dTable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매출채권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엘오티베큠!$B$68</c:f>
              <c:strCache>
                <c:ptCount val="1"/>
                <c:pt idx="0">
                  <c:v> 매출채권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엘오티베큠!$C$65:$Y$65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엘오티베큠!$C$68:$Y$68</c:f>
              <c:numCache>
                <c:formatCode>#,##0_);[Red]\(#,##0\)</c:formatCode>
                <c:ptCount val="23"/>
                <c:pt idx="0">
                  <c:v>13755</c:v>
                </c:pt>
                <c:pt idx="1">
                  <c:v>21059</c:v>
                </c:pt>
                <c:pt idx="2">
                  <c:v>13162</c:v>
                </c:pt>
                <c:pt idx="3">
                  <c:v>14676</c:v>
                </c:pt>
                <c:pt idx="4">
                  <c:v>14616</c:v>
                </c:pt>
                <c:pt idx="5">
                  <c:v>17064</c:v>
                </c:pt>
                <c:pt idx="6">
                  <c:v>10204</c:v>
                </c:pt>
                <c:pt idx="7">
                  <c:v>11892</c:v>
                </c:pt>
                <c:pt idx="8">
                  <c:v>12602</c:v>
                </c:pt>
                <c:pt idx="9">
                  <c:v>13226</c:v>
                </c:pt>
                <c:pt idx="10">
                  <c:v>20504</c:v>
                </c:pt>
                <c:pt idx="11">
                  <c:v>29290</c:v>
                </c:pt>
                <c:pt idx="12">
                  <c:v>27133</c:v>
                </c:pt>
                <c:pt idx="13">
                  <c:v>20027</c:v>
                </c:pt>
                <c:pt idx="14">
                  <c:v>18819</c:v>
                </c:pt>
                <c:pt idx="15">
                  <c:v>15919</c:v>
                </c:pt>
                <c:pt idx="16">
                  <c:v>28593</c:v>
                </c:pt>
                <c:pt idx="17">
                  <c:v>31530</c:v>
                </c:pt>
                <c:pt idx="18">
                  <c:v>20859</c:v>
                </c:pt>
                <c:pt idx="19">
                  <c:v>27224</c:v>
                </c:pt>
                <c:pt idx="20">
                  <c:v>39307</c:v>
                </c:pt>
                <c:pt idx="21">
                  <c:v>38222</c:v>
                </c:pt>
                <c:pt idx="22">
                  <c:v>48709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53-45A5-87EF-6BA31FFFE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41804224"/>
        <c:axId val="441801312"/>
      </c:barChart>
      <c:lineChart>
        <c:grouping val="standard"/>
        <c:varyColors val="0"/>
        <c:ser>
          <c:idx val="1"/>
          <c:order val="1"/>
          <c:tx>
            <c:strRef>
              <c:f>엘오티베큠!$B$69</c:f>
              <c:strCache>
                <c:ptCount val="1"/>
                <c:pt idx="0">
                  <c:v> 매출채권 회전율(회)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엘오티베큠!$C$65:$Y$65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엘오티베큠!$C$69:$Y$69</c:f>
              <c:numCache>
                <c:formatCode>0.00_);[Red]\(0.00\)</c:formatCode>
                <c:ptCount val="23"/>
                <c:pt idx="1">
                  <c:v>3.86</c:v>
                </c:pt>
                <c:pt idx="2">
                  <c:v>2.79</c:v>
                </c:pt>
                <c:pt idx="3">
                  <c:v>3.16</c:v>
                </c:pt>
                <c:pt idx="4">
                  <c:v>3.53</c:v>
                </c:pt>
                <c:pt idx="5">
                  <c:v>3.34</c:v>
                </c:pt>
                <c:pt idx="6">
                  <c:v>2.17</c:v>
                </c:pt>
                <c:pt idx="7">
                  <c:v>3.16</c:v>
                </c:pt>
                <c:pt idx="8">
                  <c:v>2.95</c:v>
                </c:pt>
                <c:pt idx="9">
                  <c:v>2.44</c:v>
                </c:pt>
                <c:pt idx="10">
                  <c:v>2.09</c:v>
                </c:pt>
                <c:pt idx="11">
                  <c:v>1.89</c:v>
                </c:pt>
                <c:pt idx="12">
                  <c:v>1.94</c:v>
                </c:pt>
                <c:pt idx="13">
                  <c:v>1.76</c:v>
                </c:pt>
                <c:pt idx="14">
                  <c:v>2.21</c:v>
                </c:pt>
                <c:pt idx="15">
                  <c:v>1.82</c:v>
                </c:pt>
                <c:pt idx="16">
                  <c:v>3.26</c:v>
                </c:pt>
                <c:pt idx="17">
                  <c:v>2.59</c:v>
                </c:pt>
                <c:pt idx="18">
                  <c:v>1.95</c:v>
                </c:pt>
                <c:pt idx="19">
                  <c:v>2.39</c:v>
                </c:pt>
                <c:pt idx="20">
                  <c:v>2.25</c:v>
                </c:pt>
                <c:pt idx="21">
                  <c:v>2.17</c:v>
                </c:pt>
                <c:pt idx="22">
                  <c:v>2.38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53-45A5-87EF-6BA31FFFEC70}"/>
            </c:ext>
          </c:extLst>
        </c:ser>
        <c:ser>
          <c:idx val="2"/>
          <c:order val="2"/>
          <c:tx>
            <c:strRef>
              <c:f>엘오티베큠!$B$70</c:f>
              <c:strCache>
                <c:ptCount val="1"/>
                <c:pt idx="0">
                  <c:v> 대손충당금 설정율(%)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엘오티베큠!$C$65:$Y$65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엘오티베큠!$C$70:$Y$70</c:f>
              <c:numCache>
                <c:formatCode>0.0%</c:formatCode>
                <c:ptCount val="23"/>
                <c:pt idx="0">
                  <c:v>3.1201577686998168E-2</c:v>
                </c:pt>
                <c:pt idx="1">
                  <c:v>2.1058014131647453E-2</c:v>
                </c:pt>
                <c:pt idx="2">
                  <c:v>3.7654456386634498E-2</c:v>
                </c:pt>
                <c:pt idx="3">
                  <c:v>2.3942537909018357E-2</c:v>
                </c:pt>
                <c:pt idx="4">
                  <c:v>2.5340090690850893E-2</c:v>
                </c:pt>
                <c:pt idx="5">
                  <c:v>2.1840068787618228E-2</c:v>
                </c:pt>
                <c:pt idx="6">
                  <c:v>3.9804272137009503E-2</c:v>
                </c:pt>
                <c:pt idx="7">
                  <c:v>3.7941914084620984E-2</c:v>
                </c:pt>
                <c:pt idx="8">
                  <c:v>3.2178788111512174E-2</c:v>
                </c:pt>
                <c:pt idx="9">
                  <c:v>3.0351906158357773E-2</c:v>
                </c:pt>
                <c:pt idx="10">
                  <c:v>2.0821394460362942E-2</c:v>
                </c:pt>
                <c:pt idx="11">
                  <c:v>3.5466130997464353E-2</c:v>
                </c:pt>
                <c:pt idx="12">
                  <c:v>4.3096455651560568E-2</c:v>
                </c:pt>
                <c:pt idx="13">
                  <c:v>8.1793590390170104E-2</c:v>
                </c:pt>
                <c:pt idx="14">
                  <c:v>9.2885375494071151E-2</c:v>
                </c:pt>
                <c:pt idx="15">
                  <c:v>0.10168726369843688</c:v>
                </c:pt>
                <c:pt idx="16">
                  <c:v>6.1970999278262578E-2</c:v>
                </c:pt>
                <c:pt idx="17">
                  <c:v>8.3536798046738747E-2</c:v>
                </c:pt>
                <c:pt idx="18">
                  <c:v>0.10411029506506893</c:v>
                </c:pt>
                <c:pt idx="19">
                  <c:v>6.1370845400634394E-2</c:v>
                </c:pt>
                <c:pt idx="20">
                  <c:v>4.8924484018485807E-2</c:v>
                </c:pt>
                <c:pt idx="21">
                  <c:v>6.9050344642813649E-2</c:v>
                </c:pt>
                <c:pt idx="22">
                  <c:v>5.527647937314533E-2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453-45A5-87EF-6BA31FFFE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20864"/>
        <c:axId val="441798400"/>
      </c:lineChart>
      <c:catAx>
        <c:axId val="441804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41801312"/>
        <c:crosses val="autoZero"/>
        <c:auto val="1"/>
        <c:lblAlgn val="ctr"/>
        <c:lblOffset val="100"/>
        <c:noMultiLvlLbl val="0"/>
      </c:catAx>
      <c:valAx>
        <c:axId val="44180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41804224"/>
        <c:crosses val="autoZero"/>
        <c:crossBetween val="between"/>
      </c:valAx>
      <c:valAx>
        <c:axId val="441798400"/>
        <c:scaling>
          <c:orientation val="minMax"/>
        </c:scaling>
        <c:delete val="0"/>
        <c:axPos val="r"/>
        <c:numFmt formatCode="0.00_);[Red]\(0.0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41820864"/>
        <c:crosses val="max"/>
        <c:crossBetween val="between"/>
      </c:valAx>
      <c:catAx>
        <c:axId val="4418208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17984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재고자산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엘오티베큠!$B$55</c:f>
              <c:strCache>
                <c:ptCount val="1"/>
                <c:pt idx="0">
                  <c:v> 상품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엘오티베큠!$C$55:$Y$55</c:f>
              <c:numCache>
                <c:formatCode>_-* #,##0_-;\-* #,##0_-;_-* "-"_-;_-@</c:formatCode>
                <c:ptCount val="23"/>
                <c:pt idx="0">
                  <c:v>1458</c:v>
                </c:pt>
                <c:pt idx="1">
                  <c:v>1197</c:v>
                </c:pt>
                <c:pt idx="2">
                  <c:v>566</c:v>
                </c:pt>
                <c:pt idx="3">
                  <c:v>487</c:v>
                </c:pt>
                <c:pt idx="4">
                  <c:v>1050</c:v>
                </c:pt>
                <c:pt idx="5">
                  <c:v>908</c:v>
                </c:pt>
                <c:pt idx="6">
                  <c:v>880</c:v>
                </c:pt>
                <c:pt idx="7">
                  <c:v>473</c:v>
                </c:pt>
                <c:pt idx="8">
                  <c:v>379</c:v>
                </c:pt>
                <c:pt idx="9">
                  <c:v>903</c:v>
                </c:pt>
                <c:pt idx="10">
                  <c:v>704</c:v>
                </c:pt>
                <c:pt idx="11">
                  <c:v>1248</c:v>
                </c:pt>
                <c:pt idx="12">
                  <c:v>3636</c:v>
                </c:pt>
                <c:pt idx="13">
                  <c:v>2911</c:v>
                </c:pt>
                <c:pt idx="14">
                  <c:v>2518</c:v>
                </c:pt>
                <c:pt idx="15">
                  <c:v>285</c:v>
                </c:pt>
                <c:pt idx="16">
                  <c:v>243</c:v>
                </c:pt>
                <c:pt idx="17">
                  <c:v>556</c:v>
                </c:pt>
                <c:pt idx="18">
                  <c:v>101</c:v>
                </c:pt>
                <c:pt idx="19">
                  <c:v>800</c:v>
                </c:pt>
                <c:pt idx="20">
                  <c:v>81</c:v>
                </c:pt>
                <c:pt idx="21">
                  <c:v>475</c:v>
                </c:pt>
                <c:pt idx="22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3C-44C0-9670-D74CEE72B601}"/>
            </c:ext>
          </c:extLst>
        </c:ser>
        <c:ser>
          <c:idx val="1"/>
          <c:order val="1"/>
          <c:tx>
            <c:strRef>
              <c:f>엘오티베큠!$B$56</c:f>
              <c:strCache>
                <c:ptCount val="1"/>
                <c:pt idx="0">
                  <c:v> 제품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엘오티베큠!$C$56:$Y$56</c:f>
              <c:numCache>
                <c:formatCode>_-* #,##0_-;\-* #,##0_-;_-* "-"_-;_-@</c:formatCode>
                <c:ptCount val="23"/>
                <c:pt idx="0">
                  <c:v>11319</c:v>
                </c:pt>
                <c:pt idx="1">
                  <c:v>7044</c:v>
                </c:pt>
                <c:pt idx="2">
                  <c:v>7513</c:v>
                </c:pt>
                <c:pt idx="3">
                  <c:v>4970</c:v>
                </c:pt>
                <c:pt idx="4">
                  <c:v>6206</c:v>
                </c:pt>
                <c:pt idx="5">
                  <c:v>5267</c:v>
                </c:pt>
                <c:pt idx="6">
                  <c:v>4833</c:v>
                </c:pt>
                <c:pt idx="7">
                  <c:v>4288</c:v>
                </c:pt>
                <c:pt idx="8">
                  <c:v>5738</c:v>
                </c:pt>
                <c:pt idx="9">
                  <c:v>6196</c:v>
                </c:pt>
                <c:pt idx="10">
                  <c:v>6863</c:v>
                </c:pt>
                <c:pt idx="11">
                  <c:v>7392</c:v>
                </c:pt>
                <c:pt idx="12">
                  <c:v>7588</c:v>
                </c:pt>
                <c:pt idx="13">
                  <c:v>11869</c:v>
                </c:pt>
                <c:pt idx="14">
                  <c:v>5130</c:v>
                </c:pt>
                <c:pt idx="15">
                  <c:v>11664</c:v>
                </c:pt>
                <c:pt idx="16">
                  <c:v>11302</c:v>
                </c:pt>
                <c:pt idx="17">
                  <c:v>12083</c:v>
                </c:pt>
                <c:pt idx="18">
                  <c:v>8335</c:v>
                </c:pt>
                <c:pt idx="19">
                  <c:v>13871</c:v>
                </c:pt>
                <c:pt idx="20">
                  <c:v>13954</c:v>
                </c:pt>
                <c:pt idx="21" formatCode="General">
                  <c:v>14983</c:v>
                </c:pt>
                <c:pt idx="22">
                  <c:v>15303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3C-44C0-9670-D74CEE72B601}"/>
            </c:ext>
          </c:extLst>
        </c:ser>
        <c:ser>
          <c:idx val="2"/>
          <c:order val="2"/>
          <c:tx>
            <c:strRef>
              <c:f>엘오티베큠!$B$57</c:f>
              <c:strCache>
                <c:ptCount val="1"/>
                <c:pt idx="0">
                  <c:v> 재공품(재고자산)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엘오티베큠!$C$57:$Y$57</c:f>
              <c:numCache>
                <c:formatCode>_-* #,##0_-;\-* #,##0_-;_-* "-"_-;_-@</c:formatCode>
                <c:ptCount val="23"/>
                <c:pt idx="0">
                  <c:v>8531</c:v>
                </c:pt>
                <c:pt idx="1">
                  <c:v>8107</c:v>
                </c:pt>
                <c:pt idx="2">
                  <c:v>3101</c:v>
                </c:pt>
                <c:pt idx="3">
                  <c:v>4036</c:v>
                </c:pt>
                <c:pt idx="4">
                  <c:v>4581</c:v>
                </c:pt>
                <c:pt idx="5">
                  <c:v>4070</c:v>
                </c:pt>
                <c:pt idx="6">
                  <c:v>3609</c:v>
                </c:pt>
                <c:pt idx="7">
                  <c:v>4499</c:v>
                </c:pt>
                <c:pt idx="8">
                  <c:v>4854</c:v>
                </c:pt>
                <c:pt idx="9">
                  <c:v>4164</c:v>
                </c:pt>
                <c:pt idx="10">
                  <c:v>4280</c:v>
                </c:pt>
                <c:pt idx="11">
                  <c:v>3188</c:v>
                </c:pt>
                <c:pt idx="12">
                  <c:v>3788</c:v>
                </c:pt>
                <c:pt idx="13">
                  <c:v>2832</c:v>
                </c:pt>
                <c:pt idx="14">
                  <c:v>2941</c:v>
                </c:pt>
                <c:pt idx="15">
                  <c:v>2827</c:v>
                </c:pt>
                <c:pt idx="16">
                  <c:v>2698</c:v>
                </c:pt>
                <c:pt idx="17">
                  <c:v>2491</c:v>
                </c:pt>
                <c:pt idx="18">
                  <c:v>2188</c:v>
                </c:pt>
                <c:pt idx="19">
                  <c:v>3131</c:v>
                </c:pt>
                <c:pt idx="20">
                  <c:v>3207</c:v>
                </c:pt>
                <c:pt idx="21">
                  <c:v>3586</c:v>
                </c:pt>
                <c:pt idx="22">
                  <c:v>4195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3C-44C0-9670-D74CEE72B601}"/>
            </c:ext>
          </c:extLst>
        </c:ser>
        <c:ser>
          <c:idx val="3"/>
          <c:order val="3"/>
          <c:tx>
            <c:strRef>
              <c:f>엘오티베큠!$B$58</c:f>
              <c:strCache>
                <c:ptCount val="1"/>
                <c:pt idx="0">
                  <c:v> 원재료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엘오티베큠!$C$58:$Y$58</c:f>
              <c:numCache>
                <c:formatCode>_-* #,##0_-;\-* #,##0_-;_-* "-"_-;_-@</c:formatCode>
                <c:ptCount val="23"/>
                <c:pt idx="0">
                  <c:v>13844</c:v>
                </c:pt>
                <c:pt idx="1">
                  <c:v>10763</c:v>
                </c:pt>
                <c:pt idx="2">
                  <c:v>7244</c:v>
                </c:pt>
                <c:pt idx="3">
                  <c:v>7485</c:v>
                </c:pt>
                <c:pt idx="4">
                  <c:v>9420</c:v>
                </c:pt>
                <c:pt idx="5">
                  <c:v>10722</c:v>
                </c:pt>
                <c:pt idx="6">
                  <c:v>8622</c:v>
                </c:pt>
                <c:pt idx="7">
                  <c:v>9143</c:v>
                </c:pt>
                <c:pt idx="8">
                  <c:v>11411</c:v>
                </c:pt>
                <c:pt idx="9">
                  <c:v>10873</c:v>
                </c:pt>
                <c:pt idx="10">
                  <c:v>11544</c:v>
                </c:pt>
                <c:pt idx="11">
                  <c:v>9098</c:v>
                </c:pt>
                <c:pt idx="12">
                  <c:v>9460</c:v>
                </c:pt>
                <c:pt idx="13">
                  <c:v>10282</c:v>
                </c:pt>
                <c:pt idx="14">
                  <c:v>10077</c:v>
                </c:pt>
                <c:pt idx="15">
                  <c:v>13232</c:v>
                </c:pt>
                <c:pt idx="16">
                  <c:v>19141</c:v>
                </c:pt>
                <c:pt idx="17">
                  <c:v>17792</c:v>
                </c:pt>
                <c:pt idx="18">
                  <c:v>19576</c:v>
                </c:pt>
                <c:pt idx="19">
                  <c:v>21699</c:v>
                </c:pt>
                <c:pt idx="20">
                  <c:v>29120</c:v>
                </c:pt>
                <c:pt idx="21">
                  <c:v>30495</c:v>
                </c:pt>
                <c:pt idx="22">
                  <c:v>37771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53C-44C0-9670-D74CEE72B601}"/>
            </c:ext>
          </c:extLst>
        </c:ser>
        <c:ser>
          <c:idx val="4"/>
          <c:order val="4"/>
          <c:tx>
            <c:strRef>
              <c:f>엘오티베큠!$B$59</c:f>
              <c:strCache>
                <c:ptCount val="1"/>
                <c:pt idx="0">
                  <c:v> 저장품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엘오티베큠!$C$59:$Y$59</c:f>
              <c:numCache>
                <c:formatCode>_-* #,##0_-;\-* #,##0_-;_-* "-"_-;_-@</c:formatCode>
                <c:ptCount val="23"/>
                <c:pt idx="0">
                  <c:v>1857</c:v>
                </c:pt>
                <c:pt idx="1">
                  <c:v>2511</c:v>
                </c:pt>
                <c:pt idx="2">
                  <c:v>301</c:v>
                </c:pt>
                <c:pt idx="3">
                  <c:v>1709</c:v>
                </c:pt>
                <c:pt idx="4">
                  <c:v>1992</c:v>
                </c:pt>
                <c:pt idx="5">
                  <c:v>2388</c:v>
                </c:pt>
                <c:pt idx="6">
                  <c:v>2262</c:v>
                </c:pt>
                <c:pt idx="7">
                  <c:v>2579</c:v>
                </c:pt>
                <c:pt idx="8">
                  <c:v>4074</c:v>
                </c:pt>
                <c:pt idx="9">
                  <c:v>4939</c:v>
                </c:pt>
                <c:pt idx="10">
                  <c:v>4951</c:v>
                </c:pt>
                <c:pt idx="11">
                  <c:v>4583</c:v>
                </c:pt>
                <c:pt idx="12">
                  <c:v>4693</c:v>
                </c:pt>
                <c:pt idx="13">
                  <c:v>3646</c:v>
                </c:pt>
                <c:pt idx="14">
                  <c:v>3870</c:v>
                </c:pt>
                <c:pt idx="15">
                  <c:v>3637</c:v>
                </c:pt>
                <c:pt idx="16">
                  <c:v>3692</c:v>
                </c:pt>
                <c:pt idx="17">
                  <c:v>3899</c:v>
                </c:pt>
                <c:pt idx="18">
                  <c:v>5008</c:v>
                </c:pt>
                <c:pt idx="19">
                  <c:v>5324</c:v>
                </c:pt>
                <c:pt idx="20">
                  <c:v>5464</c:v>
                </c:pt>
                <c:pt idx="21">
                  <c:v>5086</c:v>
                </c:pt>
                <c:pt idx="22">
                  <c:v>5356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3C-44C0-9670-D74CEE72B601}"/>
            </c:ext>
          </c:extLst>
        </c:ser>
        <c:ser>
          <c:idx val="5"/>
          <c:order val="5"/>
          <c:tx>
            <c:strRef>
              <c:f>엘오티베큠!$B$60</c:f>
              <c:strCache>
                <c:ptCount val="1"/>
                <c:pt idx="0">
                  <c:v> 미착품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엘오티베큠!$C$60:$Y$60</c:f>
              <c:numCache>
                <c:formatCode>_-* #,##0_-;\-* #,##0_-;_-* "-"_-;_-@</c:formatCode>
                <c:ptCount val="23"/>
                <c:pt idx="0">
                  <c:v>378</c:v>
                </c:pt>
                <c:pt idx="1">
                  <c:v>459</c:v>
                </c:pt>
                <c:pt idx="2">
                  <c:v>402</c:v>
                </c:pt>
                <c:pt idx="3">
                  <c:v>296</c:v>
                </c:pt>
                <c:pt idx="4">
                  <c:v>372</c:v>
                </c:pt>
                <c:pt idx="5">
                  <c:v>217</c:v>
                </c:pt>
                <c:pt idx="6">
                  <c:v>708</c:v>
                </c:pt>
                <c:pt idx="7">
                  <c:v>450</c:v>
                </c:pt>
                <c:pt idx="8">
                  <c:v>250</c:v>
                </c:pt>
                <c:pt idx="9">
                  <c:v>35</c:v>
                </c:pt>
                <c:pt idx="10">
                  <c:v>13</c:v>
                </c:pt>
                <c:pt idx="11">
                  <c:v>100</c:v>
                </c:pt>
                <c:pt idx="12">
                  <c:v>607</c:v>
                </c:pt>
                <c:pt idx="13">
                  <c:v>291</c:v>
                </c:pt>
                <c:pt idx="14">
                  <c:v>62</c:v>
                </c:pt>
                <c:pt idx="15">
                  <c:v>183</c:v>
                </c:pt>
                <c:pt idx="16">
                  <c:v>4</c:v>
                </c:pt>
                <c:pt idx="17">
                  <c:v>332</c:v>
                </c:pt>
                <c:pt idx="18">
                  <c:v>31</c:v>
                </c:pt>
                <c:pt idx="19">
                  <c:v>181</c:v>
                </c:pt>
                <c:pt idx="20">
                  <c:v>75</c:v>
                </c:pt>
                <c:pt idx="21">
                  <c:v>19</c:v>
                </c:pt>
                <c:pt idx="22">
                  <c:v>3116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3C-44C0-9670-D74CEE72B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13218751"/>
        <c:axId val="613200031"/>
      </c:barChart>
      <c:lineChart>
        <c:grouping val="standard"/>
        <c:varyColors val="0"/>
        <c:ser>
          <c:idx val="6"/>
          <c:order val="6"/>
          <c:tx>
            <c:strRef>
              <c:f>엘오티베큠!$B$62</c:f>
              <c:strCache>
                <c:ptCount val="1"/>
                <c:pt idx="0">
                  <c:v> 재고자산 회전율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엘오티베큠!$C$54:$Y$54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엘오티베큠!$C$62:$Y$62</c:f>
              <c:numCache>
                <c:formatCode>_-* #,##0.00_-;\-* #,##0.00_-;_-* "-"_-;_-@</c:formatCode>
                <c:ptCount val="23"/>
                <c:pt idx="1">
                  <c:v>1.4009604553269699</c:v>
                </c:pt>
                <c:pt idx="2">
                  <c:v>1.2955210534872379</c:v>
                </c:pt>
                <c:pt idx="3">
                  <c:v>1.6101285751771188</c:v>
                </c:pt>
                <c:pt idx="4">
                  <c:v>1.5074171439301474</c:v>
                </c:pt>
                <c:pt idx="5">
                  <c:v>1.4843726823893375</c:v>
                </c:pt>
                <c:pt idx="6">
                  <c:v>0.85217821337049859</c:v>
                </c:pt>
                <c:pt idx="7">
                  <c:v>1.1213810041090067</c:v>
                </c:pt>
                <c:pt idx="8">
                  <c:v>1.0294154306369188</c:v>
                </c:pt>
                <c:pt idx="9">
                  <c:v>0.79686338635350085</c:v>
                </c:pt>
                <c:pt idx="10">
                  <c:v>0.91250338051023172</c:v>
                </c:pt>
                <c:pt idx="11">
                  <c:v>1.3040545548884441</c:v>
                </c:pt>
                <c:pt idx="12">
                  <c:v>1.2704718224661888</c:v>
                </c:pt>
                <c:pt idx="13">
                  <c:v>0.87800918786422744</c:v>
                </c:pt>
                <c:pt idx="14">
                  <c:v>1.243722199578231</c:v>
                </c:pt>
                <c:pt idx="15">
                  <c:v>0.72268103356608659</c:v>
                </c:pt>
                <c:pt idx="16">
                  <c:v>1.3302374180066174</c:v>
                </c:pt>
                <c:pt idx="17">
                  <c:v>1.3471097759756443</c:v>
                </c:pt>
                <c:pt idx="18">
                  <c:v>0.85490109404354075</c:v>
                </c:pt>
                <c:pt idx="19">
                  <c:v>0.90141441834382208</c:v>
                </c:pt>
                <c:pt idx="20">
                  <c:v>1.0367672097990857</c:v>
                </c:pt>
                <c:pt idx="21">
                  <c:v>1.0119104603688582</c:v>
                </c:pt>
                <c:pt idx="22">
                  <c:v>1.0942341254414769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53C-44C0-9670-D74CEE72B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439407"/>
        <c:axId val="388438159"/>
      </c:lineChart>
      <c:catAx>
        <c:axId val="613218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13200031"/>
        <c:crosses val="autoZero"/>
        <c:auto val="1"/>
        <c:lblAlgn val="ctr"/>
        <c:lblOffset val="100"/>
        <c:noMultiLvlLbl val="0"/>
      </c:catAx>
      <c:valAx>
        <c:axId val="61320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13218751"/>
        <c:crosses val="autoZero"/>
        <c:crossBetween val="between"/>
      </c:valAx>
      <c:valAx>
        <c:axId val="388438159"/>
        <c:scaling>
          <c:orientation val="minMax"/>
        </c:scaling>
        <c:delete val="0"/>
        <c:axPos val="r"/>
        <c:numFmt formatCode="_-* #,##0.00_-;\-* #,##0.00_-;_-* &quot;-&quot;_-;_-@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388439407"/>
        <c:crosses val="max"/>
        <c:crossBetween val="between"/>
      </c:valAx>
      <c:catAx>
        <c:axId val="38843940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843815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유지 보수</a:t>
            </a:r>
            <a:r>
              <a:rPr lang="en-US" altLang="ko-KR"/>
              <a:t>(</a:t>
            </a:r>
            <a:r>
              <a:rPr lang="ko-KR" altLang="en-US"/>
              <a:t>수선 보수</a:t>
            </a:r>
            <a:r>
              <a:rPr lang="en-US" altLang="ko-KR"/>
              <a:t>)</a:t>
            </a:r>
            <a:r>
              <a:rPr lang="ko-KR" altLang="en-US"/>
              <a:t> 매출액 추이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엘오티베큠!$B$30</c:f>
              <c:strCache>
                <c:ptCount val="1"/>
                <c:pt idx="0">
                  <c:v> 수선 보수 - 수출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엘오티베큠!$C$30:$Y$30</c:f>
              <c:numCache>
                <c:formatCode>_(* #,##0_);_(* \(#,##0\);_(* "-"_);_(@_)</c:formatCode>
                <c:ptCount val="23"/>
                <c:pt idx="0">
                  <c:v>2297</c:v>
                </c:pt>
                <c:pt idx="1">
                  <c:v>2909</c:v>
                </c:pt>
                <c:pt idx="2">
                  <c:v>3434</c:v>
                </c:pt>
                <c:pt idx="3">
                  <c:v>3730</c:v>
                </c:pt>
                <c:pt idx="4">
                  <c:v>4293</c:v>
                </c:pt>
                <c:pt idx="5">
                  <c:v>4089</c:v>
                </c:pt>
                <c:pt idx="6">
                  <c:v>4207</c:v>
                </c:pt>
                <c:pt idx="7">
                  <c:v>4018</c:v>
                </c:pt>
                <c:pt idx="8">
                  <c:v>4119</c:v>
                </c:pt>
                <c:pt idx="9">
                  <c:v>2563</c:v>
                </c:pt>
                <c:pt idx="10">
                  <c:v>2348</c:v>
                </c:pt>
                <c:pt idx="11">
                  <c:v>2155</c:v>
                </c:pt>
                <c:pt idx="12">
                  <c:v>2878</c:v>
                </c:pt>
                <c:pt idx="13">
                  <c:v>2966</c:v>
                </c:pt>
                <c:pt idx="14">
                  <c:v>3371</c:v>
                </c:pt>
                <c:pt idx="15">
                  <c:v>3704</c:v>
                </c:pt>
                <c:pt idx="16">
                  <c:v>5549</c:v>
                </c:pt>
                <c:pt idx="17">
                  <c:v>3383</c:v>
                </c:pt>
                <c:pt idx="18">
                  <c:v>3260</c:v>
                </c:pt>
                <c:pt idx="19">
                  <c:v>5384</c:v>
                </c:pt>
                <c:pt idx="20">
                  <c:v>3566</c:v>
                </c:pt>
                <c:pt idx="21">
                  <c:v>4460</c:v>
                </c:pt>
                <c:pt idx="22">
                  <c:v>5602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DB-4A1B-8123-83CB591CD729}"/>
            </c:ext>
          </c:extLst>
        </c:ser>
        <c:ser>
          <c:idx val="1"/>
          <c:order val="1"/>
          <c:tx>
            <c:strRef>
              <c:f>엘오티베큠!$B$31</c:f>
              <c:strCache>
                <c:ptCount val="1"/>
                <c:pt idx="0">
                  <c:v> 수선 보수 - 내수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엘오티베큠!$C$31:$Y$31</c:f>
              <c:numCache>
                <c:formatCode>_(* #,##0_);_(* \(#,##0\);_(* "-"_);_(@_)</c:formatCode>
                <c:ptCount val="23"/>
                <c:pt idx="0">
                  <c:v>7579</c:v>
                </c:pt>
                <c:pt idx="1">
                  <c:v>8883</c:v>
                </c:pt>
                <c:pt idx="2">
                  <c:v>9553</c:v>
                </c:pt>
                <c:pt idx="3">
                  <c:v>8376</c:v>
                </c:pt>
                <c:pt idx="4">
                  <c:v>9398</c:v>
                </c:pt>
                <c:pt idx="5">
                  <c:v>10092</c:v>
                </c:pt>
                <c:pt idx="6">
                  <c:v>8639</c:v>
                </c:pt>
                <c:pt idx="7">
                  <c:v>12220</c:v>
                </c:pt>
                <c:pt idx="8">
                  <c:v>10908</c:v>
                </c:pt>
                <c:pt idx="9">
                  <c:v>9332</c:v>
                </c:pt>
                <c:pt idx="10">
                  <c:v>10563</c:v>
                </c:pt>
                <c:pt idx="11">
                  <c:v>9822</c:v>
                </c:pt>
                <c:pt idx="12">
                  <c:v>12321</c:v>
                </c:pt>
                <c:pt idx="13">
                  <c:v>12243</c:v>
                </c:pt>
                <c:pt idx="14">
                  <c:v>11532</c:v>
                </c:pt>
                <c:pt idx="15">
                  <c:v>12289</c:v>
                </c:pt>
                <c:pt idx="16">
                  <c:v>12977</c:v>
                </c:pt>
                <c:pt idx="17">
                  <c:v>12743</c:v>
                </c:pt>
                <c:pt idx="18">
                  <c:v>11477</c:v>
                </c:pt>
                <c:pt idx="19">
                  <c:v>12457</c:v>
                </c:pt>
                <c:pt idx="20">
                  <c:v>12896</c:v>
                </c:pt>
                <c:pt idx="21">
                  <c:v>19014</c:v>
                </c:pt>
                <c:pt idx="22">
                  <c:v>16932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DB-4A1B-8123-83CB591CD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12581728"/>
        <c:axId val="1312585056"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8662976"/>
        <c:axId val="878656736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엘오티베큠!$B$10</c15:sqref>
                        </c15:formulaRef>
                      </c:ext>
                    </c:extLst>
                    <c:strCache>
                      <c:ptCount val="1"/>
                      <c:pt idx="0">
                        <c:v> GPM(%)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ko-KR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>
                      <c:ext uri="{02D57815-91ED-43cb-92C2-25804820EDAC}">
                        <c15:formulaRef>
                          <c15:sqref>엘오티베큠!$C$10:$Y$10</c15:sqref>
                        </c15:formulaRef>
                      </c:ext>
                    </c:extLst>
                    <c:numCache>
                      <c:formatCode>0.0%</c:formatCode>
                      <c:ptCount val="23"/>
                      <c:pt idx="0">
                        <c:v>0.31140098010954165</c:v>
                      </c:pt>
                      <c:pt idx="1">
                        <c:v>0.29764593984068483</c:v>
                      </c:pt>
                      <c:pt idx="2">
                        <c:v>0.33373048222236157</c:v>
                      </c:pt>
                      <c:pt idx="3">
                        <c:v>0.30251432208784212</c:v>
                      </c:pt>
                      <c:pt idx="4">
                        <c:v>0.3794975845410628</c:v>
                      </c:pt>
                      <c:pt idx="5">
                        <c:v>0.33873281981573783</c:v>
                      </c:pt>
                      <c:pt idx="6">
                        <c:v>0.36023356284595653</c:v>
                      </c:pt>
                      <c:pt idx="7">
                        <c:v>0.32100777854037976</c:v>
                      </c:pt>
                      <c:pt idx="8">
                        <c:v>0.31466268359472244</c:v>
                      </c:pt>
                      <c:pt idx="9">
                        <c:v>0.32025107785949786</c:v>
                      </c:pt>
                      <c:pt idx="10">
                        <c:v>0.28540366532064498</c:v>
                      </c:pt>
                      <c:pt idx="11">
                        <c:v>0.25350588734486051</c:v>
                      </c:pt>
                      <c:pt idx="12">
                        <c:v>0.35863778895938159</c:v>
                      </c:pt>
                      <c:pt idx="13">
                        <c:v>0.35122945903802327</c:v>
                      </c:pt>
                      <c:pt idx="14">
                        <c:v>0.18400613896381732</c:v>
                      </c:pt>
                      <c:pt idx="15">
                        <c:v>0.35677329799987378</c:v>
                      </c:pt>
                      <c:pt idx="16">
                        <c:v>0.36960827464788731</c:v>
                      </c:pt>
                      <c:pt idx="17">
                        <c:v>0.3580113760384166</c:v>
                      </c:pt>
                      <c:pt idx="18">
                        <c:v>0.39697944070934427</c:v>
                      </c:pt>
                      <c:pt idx="19">
                        <c:v>0.37312372170416336</c:v>
                      </c:pt>
                      <c:pt idx="20">
                        <c:v>0.33063731695292409</c:v>
                      </c:pt>
                      <c:pt idx="21">
                        <c:v>0.35978195033313143</c:v>
                      </c:pt>
                      <c:pt idx="22">
                        <c:v>0.36190963111591296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63DB-4A1B-8123-83CB591CD729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엘오티베큠!$B$36</c15:sqref>
                        </c15:formulaRef>
                      </c:ext>
                    </c:extLst>
                    <c:strCache>
                      <c:ptCount val="1"/>
                      <c:pt idx="0">
                        <c:v> 매출액 중 수선 보수 비율(%)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ko-KR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엘오티베큠!$C$36:$Y$36</c15:sqref>
                        </c15:formulaRef>
                      </c:ext>
                    </c:extLst>
                    <c:numCache>
                      <c:formatCode>0.0%</c:formatCode>
                      <c:ptCount val="23"/>
                      <c:pt idx="0">
                        <c:v>0.23724416258287692</c:v>
                      </c:pt>
                      <c:pt idx="1">
                        <c:v>0.17524409636047497</c:v>
                      </c:pt>
                      <c:pt idx="2">
                        <c:v>0.27146171693735499</c:v>
                      </c:pt>
                      <c:pt idx="3">
                        <c:v>0.2752176779503035</c:v>
                      </c:pt>
                      <c:pt idx="4">
                        <c:v>0.26455527429421655</c:v>
                      </c:pt>
                      <c:pt idx="5">
                        <c:v>0.26772768463978253</c:v>
                      </c:pt>
                      <c:pt idx="6">
                        <c:v>0.43356171318640518</c:v>
                      </c:pt>
                      <c:pt idx="7">
                        <c:v>0.46439398272607674</c:v>
                      </c:pt>
                      <c:pt idx="8">
                        <c:v>0.41563865685677931</c:v>
                      </c:pt>
                      <c:pt idx="9">
                        <c:v>0.37709231549581534</c:v>
                      </c:pt>
                      <c:pt idx="10">
                        <c:v>0.36457333258033547</c:v>
                      </c:pt>
                      <c:pt idx="11">
                        <c:v>0.25410531675648151</c:v>
                      </c:pt>
                      <c:pt idx="12">
                        <c:v>0.27709108145555311</c:v>
                      </c:pt>
                      <c:pt idx="13">
                        <c:v>0.3648467111260375</c:v>
                      </c:pt>
                      <c:pt idx="14">
                        <c:v>0.38208901651112709</c:v>
                      </c:pt>
                      <c:pt idx="15">
                        <c:v>0.44802084208757037</c:v>
                      </c:pt>
                      <c:pt idx="16">
                        <c:v>0.25481053572656626</c:v>
                      </c:pt>
                      <c:pt idx="17">
                        <c:v>0.20705417100008988</c:v>
                      </c:pt>
                      <c:pt idx="18">
                        <c:v>0.28718698236383122</c:v>
                      </c:pt>
                      <c:pt idx="19">
                        <c:v>0.30924028911653062</c:v>
                      </c:pt>
                      <c:pt idx="20">
                        <c:v>0.21935002465056164</c:v>
                      </c:pt>
                      <c:pt idx="21">
                        <c:v>0.27878197667513838</c:v>
                      </c:pt>
                      <c:pt idx="22">
                        <c:v>0.21736697920283984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3DB-4A1B-8123-83CB591CD729}"/>
                  </c:ext>
                </c:extLst>
              </c15:ser>
            </c15:filteredLineSeries>
          </c:ext>
        </c:extLst>
      </c:lineChart>
      <c:catAx>
        <c:axId val="1312581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2585056"/>
        <c:crosses val="autoZero"/>
        <c:auto val="1"/>
        <c:lblAlgn val="ctr"/>
        <c:lblOffset val="100"/>
        <c:noMultiLvlLbl val="0"/>
      </c:catAx>
      <c:valAx>
        <c:axId val="1312585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2581728"/>
        <c:crosses val="autoZero"/>
        <c:crossBetween val="between"/>
      </c:valAx>
      <c:valAx>
        <c:axId val="878656736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78662976"/>
        <c:crosses val="max"/>
        <c:crossBetween val="between"/>
      </c:valAx>
      <c:catAx>
        <c:axId val="878662976"/>
        <c:scaling>
          <c:orientation val="minMax"/>
        </c:scaling>
        <c:delete val="1"/>
        <c:axPos val="b"/>
        <c:majorTickMark val="out"/>
        <c:minorTickMark val="none"/>
        <c:tickLblPos val="nextTo"/>
        <c:crossAx val="87865673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엘오티베큠!$B$35</c:f>
              <c:strCache>
                <c:ptCount val="1"/>
                <c:pt idx="0">
                  <c:v> 매출액 중 수출 비율(%)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엘오티베큠!$C$35:$Y$35</c:f>
              <c:numCache>
                <c:formatCode>0.0%</c:formatCode>
                <c:ptCount val="23"/>
                <c:pt idx="0">
                  <c:v>0.18552416642644373</c:v>
                </c:pt>
                <c:pt idx="1">
                  <c:v>0.23847880039828204</c:v>
                </c:pt>
                <c:pt idx="2">
                  <c:v>0.14094605045881148</c:v>
                </c:pt>
                <c:pt idx="3">
                  <c:v>0.11573874099165662</c:v>
                </c:pt>
                <c:pt idx="4">
                  <c:v>0.14743676450696605</c:v>
                </c:pt>
                <c:pt idx="5">
                  <c:v>0.19272013291043649</c:v>
                </c:pt>
                <c:pt idx="6">
                  <c:v>0.21725336663404096</c:v>
                </c:pt>
                <c:pt idx="7">
                  <c:v>0.22756391923582908</c:v>
                </c:pt>
                <c:pt idx="8">
                  <c:v>0.3597942136416441</c:v>
                </c:pt>
                <c:pt idx="9">
                  <c:v>0.26737255896525486</c:v>
                </c:pt>
                <c:pt idx="10">
                  <c:v>0.44790195967696389</c:v>
                </c:pt>
                <c:pt idx="11">
                  <c:v>0.44428650231255568</c:v>
                </c:pt>
                <c:pt idx="12">
                  <c:v>0.30472908918544445</c:v>
                </c:pt>
                <c:pt idx="13">
                  <c:v>0.16127716739432904</c:v>
                </c:pt>
                <c:pt idx="14">
                  <c:v>0.22672033637575634</c:v>
                </c:pt>
                <c:pt idx="15">
                  <c:v>0.33464997058576351</c:v>
                </c:pt>
                <c:pt idx="16">
                  <c:v>0.41642252939962865</c:v>
                </c:pt>
                <c:pt idx="17">
                  <c:v>0.44587393911379891</c:v>
                </c:pt>
                <c:pt idx="18">
                  <c:v>0.21673974471402124</c:v>
                </c:pt>
                <c:pt idx="19">
                  <c:v>0.28909919747629698</c:v>
                </c:pt>
                <c:pt idx="20">
                  <c:v>0.35059760956175301</c:v>
                </c:pt>
                <c:pt idx="21">
                  <c:v>0.35628607396498896</c:v>
                </c:pt>
                <c:pt idx="22">
                  <c:v>0.48597445692016822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04-45DA-855F-E816D50F95E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71895632"/>
        <c:axId val="171891888"/>
      </c:lineChart>
      <c:catAx>
        <c:axId val="17189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1891888"/>
        <c:crosses val="autoZero"/>
        <c:auto val="1"/>
        <c:lblAlgn val="ctr"/>
        <c:lblOffset val="100"/>
        <c:noMultiLvlLbl val="0"/>
      </c:catAx>
      <c:valAx>
        <c:axId val="17189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1895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 sz="2000"/>
              <a:t>수주 잔고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엘오티베큠!$B$42</c:f>
              <c:strCache>
                <c:ptCount val="1"/>
                <c:pt idx="0">
                  <c:v> 국내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엘오티베큠!$C$41:$Y$41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엘오티베큠!$C$42:$Y$42</c:f>
              <c:numCache>
                <c:formatCode>_(* #,##0_);_(* \(#,##0\);_(* "-"_);_(@_)</c:formatCode>
                <c:ptCount val="23"/>
                <c:pt idx="0">
                  <c:v>26204</c:v>
                </c:pt>
                <c:pt idx="1">
                  <c:v>17620</c:v>
                </c:pt>
                <c:pt idx="2">
                  <c:v>13879</c:v>
                </c:pt>
                <c:pt idx="3">
                  <c:v>18727</c:v>
                </c:pt>
                <c:pt idx="4">
                  <c:v>18014</c:v>
                </c:pt>
                <c:pt idx="5">
                  <c:v>6952</c:v>
                </c:pt>
                <c:pt idx="6">
                  <c:v>8148</c:v>
                </c:pt>
                <c:pt idx="7">
                  <c:v>5444</c:v>
                </c:pt>
                <c:pt idx="8">
                  <c:v>4660</c:v>
                </c:pt>
                <c:pt idx="9">
                  <c:v>10102</c:v>
                </c:pt>
                <c:pt idx="10">
                  <c:v>7148</c:v>
                </c:pt>
                <c:pt idx="11">
                  <c:v>22865</c:v>
                </c:pt>
                <c:pt idx="12">
                  <c:v>29112</c:v>
                </c:pt>
                <c:pt idx="13">
                  <c:v>10734</c:v>
                </c:pt>
                <c:pt idx="14">
                  <c:v>7491</c:v>
                </c:pt>
                <c:pt idx="15">
                  <c:v>4904</c:v>
                </c:pt>
                <c:pt idx="16">
                  <c:v>13538</c:v>
                </c:pt>
                <c:pt idx="17">
                  <c:v>13096</c:v>
                </c:pt>
                <c:pt idx="18">
                  <c:v>15006</c:v>
                </c:pt>
                <c:pt idx="19">
                  <c:v>15650</c:v>
                </c:pt>
                <c:pt idx="20">
                  <c:v>25215</c:v>
                </c:pt>
                <c:pt idx="21">
                  <c:v>29698</c:v>
                </c:pt>
                <c:pt idx="22">
                  <c:v>31553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96-4C28-AE8F-30FBF9D13E1C}"/>
            </c:ext>
          </c:extLst>
        </c:ser>
        <c:ser>
          <c:idx val="1"/>
          <c:order val="1"/>
          <c:tx>
            <c:strRef>
              <c:f>엘오티베큠!$B$43</c:f>
              <c:strCache>
                <c:ptCount val="1"/>
                <c:pt idx="0">
                  <c:v> 해외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엘오티베큠!$C$41:$Y$41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엘오티베큠!$C$43:$Y$43</c:f>
              <c:numCache>
                <c:formatCode>_(* #,##0_);_(* \(#,##0\);_(* "-"_);_(@_)</c:formatCode>
                <c:ptCount val="23"/>
                <c:pt idx="0">
                  <c:v>6490</c:v>
                </c:pt>
                <c:pt idx="1">
                  <c:v>2901</c:v>
                </c:pt>
                <c:pt idx="2">
                  <c:v>2625</c:v>
                </c:pt>
                <c:pt idx="3">
                  <c:v>8358</c:v>
                </c:pt>
                <c:pt idx="4">
                  <c:v>2451</c:v>
                </c:pt>
                <c:pt idx="5">
                  <c:v>2359</c:v>
                </c:pt>
                <c:pt idx="6">
                  <c:v>5030</c:v>
                </c:pt>
                <c:pt idx="7">
                  <c:v>5645</c:v>
                </c:pt>
                <c:pt idx="8">
                  <c:v>5651</c:v>
                </c:pt>
                <c:pt idx="9">
                  <c:v>6239</c:v>
                </c:pt>
                <c:pt idx="10">
                  <c:v>3314</c:v>
                </c:pt>
                <c:pt idx="11">
                  <c:v>3822</c:v>
                </c:pt>
                <c:pt idx="12">
                  <c:v>2624</c:v>
                </c:pt>
                <c:pt idx="13">
                  <c:v>193</c:v>
                </c:pt>
                <c:pt idx="14">
                  <c:v>2256</c:v>
                </c:pt>
                <c:pt idx="15">
                  <c:v>19015</c:v>
                </c:pt>
                <c:pt idx="16">
                  <c:v>2191</c:v>
                </c:pt>
                <c:pt idx="17">
                  <c:v>4677</c:v>
                </c:pt>
                <c:pt idx="18">
                  <c:v>5116</c:v>
                </c:pt>
                <c:pt idx="19">
                  <c:v>20668</c:v>
                </c:pt>
                <c:pt idx="20">
                  <c:v>40735</c:v>
                </c:pt>
                <c:pt idx="21">
                  <c:v>75450</c:v>
                </c:pt>
                <c:pt idx="22">
                  <c:v>106619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96-4C28-AE8F-30FBF9D13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831311"/>
        <c:axId val="495843375"/>
      </c:lineChart>
      <c:catAx>
        <c:axId val="49583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95843375"/>
        <c:crosses val="autoZero"/>
        <c:auto val="1"/>
        <c:lblAlgn val="ctr"/>
        <c:lblOffset val="100"/>
        <c:noMultiLvlLbl val="0"/>
      </c:catAx>
      <c:valAx>
        <c:axId val="4958433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958313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엘오티베큠!$C$6:$Y$6</c:f>
              <c:numCache>
                <c:formatCode>_-* #,##0_-;\-* #,##0_-;_-* "-"_-;_-@</c:formatCode>
                <c:ptCount val="23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E7-423E-98A7-D36C13942BB4}"/>
            </c:ext>
          </c:extLst>
        </c:ser>
        <c:ser>
          <c:idx val="3"/>
          <c:order val="3"/>
          <c:tx>
            <c:strRef>
              <c:f>엘오티베큠!$B$61</c:f>
              <c:strCache>
                <c:ptCount val="1"/>
                <c:pt idx="0">
                  <c:v> 재고자산 총액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엘오티베큠!$C$61:$Y$61</c:f>
              <c:numCache>
                <c:formatCode>_-* #,##0_-;\-* #,##0_-;_-* "-"_-;_-@</c:formatCode>
                <c:ptCount val="23"/>
                <c:pt idx="0">
                  <c:v>37387</c:v>
                </c:pt>
                <c:pt idx="1">
                  <c:v>30081</c:v>
                </c:pt>
                <c:pt idx="2">
                  <c:v>19127</c:v>
                </c:pt>
                <c:pt idx="3">
                  <c:v>18983</c:v>
                </c:pt>
                <c:pt idx="4">
                  <c:v>23621</c:v>
                </c:pt>
                <c:pt idx="5">
                  <c:v>23572</c:v>
                </c:pt>
                <c:pt idx="6">
                  <c:v>20914</c:v>
                </c:pt>
                <c:pt idx="7">
                  <c:v>21432</c:v>
                </c:pt>
                <c:pt idx="8">
                  <c:v>26706</c:v>
                </c:pt>
                <c:pt idx="9">
                  <c:v>27110</c:v>
                </c:pt>
                <c:pt idx="10">
                  <c:v>28355</c:v>
                </c:pt>
                <c:pt idx="11">
                  <c:v>25609</c:v>
                </c:pt>
                <c:pt idx="12">
                  <c:v>29772</c:v>
                </c:pt>
                <c:pt idx="13">
                  <c:v>31831</c:v>
                </c:pt>
                <c:pt idx="14">
                  <c:v>24598</c:v>
                </c:pt>
                <c:pt idx="15">
                  <c:v>31828</c:v>
                </c:pt>
                <c:pt idx="16">
                  <c:v>37080</c:v>
                </c:pt>
                <c:pt idx="17">
                  <c:v>37153</c:v>
                </c:pt>
                <c:pt idx="18">
                  <c:v>35239</c:v>
                </c:pt>
                <c:pt idx="19">
                  <c:v>45006</c:v>
                </c:pt>
                <c:pt idx="20">
                  <c:v>51901</c:v>
                </c:pt>
                <c:pt idx="21">
                  <c:v>54644</c:v>
                </c:pt>
                <c:pt idx="22">
                  <c:v>66257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E7-423E-98A7-D36C13942B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464703"/>
        <c:axId val="502466367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엘오티베큠!$B$44</c15:sqref>
                        </c15:formulaRef>
                      </c:ext>
                    </c:extLst>
                    <c:strCache>
                      <c:ptCount val="1"/>
                      <c:pt idx="0">
                        <c:v> 수주 잔고 계 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엘오티베큠!$C$5:$Y$5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엘오티베큠!$C$44:$Y$44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0">
                        <c:v>32694</c:v>
                      </c:pt>
                      <c:pt idx="1">
                        <c:v>20521</c:v>
                      </c:pt>
                      <c:pt idx="2">
                        <c:v>16504</c:v>
                      </c:pt>
                      <c:pt idx="3">
                        <c:v>27085</c:v>
                      </c:pt>
                      <c:pt idx="4">
                        <c:v>20465</c:v>
                      </c:pt>
                      <c:pt idx="5">
                        <c:v>9311</c:v>
                      </c:pt>
                      <c:pt idx="6">
                        <c:v>13178</c:v>
                      </c:pt>
                      <c:pt idx="7">
                        <c:v>11089</c:v>
                      </c:pt>
                      <c:pt idx="8">
                        <c:v>10311</c:v>
                      </c:pt>
                      <c:pt idx="9">
                        <c:v>16341</c:v>
                      </c:pt>
                      <c:pt idx="10">
                        <c:v>10462</c:v>
                      </c:pt>
                      <c:pt idx="11">
                        <c:v>26687</c:v>
                      </c:pt>
                      <c:pt idx="12">
                        <c:v>31736</c:v>
                      </c:pt>
                      <c:pt idx="13">
                        <c:v>10927</c:v>
                      </c:pt>
                      <c:pt idx="14">
                        <c:v>9747</c:v>
                      </c:pt>
                      <c:pt idx="15">
                        <c:v>23919</c:v>
                      </c:pt>
                      <c:pt idx="16">
                        <c:v>15729</c:v>
                      </c:pt>
                      <c:pt idx="17">
                        <c:v>17773</c:v>
                      </c:pt>
                      <c:pt idx="18">
                        <c:v>20122</c:v>
                      </c:pt>
                      <c:pt idx="19">
                        <c:v>36318</c:v>
                      </c:pt>
                      <c:pt idx="20">
                        <c:v>65950</c:v>
                      </c:pt>
                      <c:pt idx="21">
                        <c:v>105148</c:v>
                      </c:pt>
                      <c:pt idx="22">
                        <c:v>138172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1BE7-423E-98A7-D36C13942BB4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엘오티베큠!$B$50</c15:sqref>
                        </c15:formulaRef>
                      </c:ext>
                    </c:extLst>
                    <c:strCache>
                      <c:ptCount val="1"/>
                      <c:pt idx="0">
                        <c:v> 외주가공비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엘오티베큠!$C$5:$Y$5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엘오티베큠!$C$50:$Y$50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8">
                        <c:v>1958</c:v>
                      </c:pt>
                      <c:pt idx="9">
                        <c:v>1375</c:v>
                      </c:pt>
                      <c:pt idx="10">
                        <c:v>1628</c:v>
                      </c:pt>
                      <c:pt idx="11">
                        <c:v>1341</c:v>
                      </c:pt>
                      <c:pt idx="12">
                        <c:v>2990</c:v>
                      </c:pt>
                      <c:pt idx="13">
                        <c:v>5766</c:v>
                      </c:pt>
                      <c:pt idx="14">
                        <c:v>5237</c:v>
                      </c:pt>
                      <c:pt idx="15">
                        <c:v>9373</c:v>
                      </c:pt>
                      <c:pt idx="16">
                        <c:v>7518</c:v>
                      </c:pt>
                      <c:pt idx="17">
                        <c:v>7932</c:v>
                      </c:pt>
                      <c:pt idx="18">
                        <c:v>7351</c:v>
                      </c:pt>
                      <c:pt idx="19">
                        <c:v>4297</c:v>
                      </c:pt>
                      <c:pt idx="20">
                        <c:v>10139</c:v>
                      </c:pt>
                      <c:pt idx="21">
                        <c:v>11265</c:v>
                      </c:pt>
                      <c:pt idx="22">
                        <c:v>15441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1BE7-423E-98A7-D36C13942BB4}"/>
                  </c:ext>
                </c:extLst>
              </c15:ser>
            </c15:filteredLineSeries>
          </c:ext>
        </c:extLst>
      </c:lineChart>
      <c:catAx>
        <c:axId val="502464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6367"/>
        <c:crosses val="autoZero"/>
        <c:auto val="1"/>
        <c:lblAlgn val="ctr"/>
        <c:lblOffset val="100"/>
        <c:noMultiLvlLbl val="0"/>
      </c:catAx>
      <c:valAx>
        <c:axId val="502466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4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엘오티베큠!$C$6:$Y$6</c:f>
              <c:numCache>
                <c:formatCode>_-* #,##0_-;\-* #,##0_-;_-* "-"_-;_-@</c:formatCode>
                <c:ptCount val="23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05-4D58-938D-0A7C925476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2464703"/>
        <c:axId val="50246636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엘오티베큠!$B$44</c15:sqref>
                        </c15:formulaRef>
                      </c:ext>
                    </c:extLst>
                    <c:strCache>
                      <c:ptCount val="1"/>
                      <c:pt idx="0">
                        <c:v> 수주 잔고 계 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엘오티베큠!$C$5:$Y$5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엘오티베큠!$C$44:$Y$44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0">
                        <c:v>32694</c:v>
                      </c:pt>
                      <c:pt idx="1">
                        <c:v>20521</c:v>
                      </c:pt>
                      <c:pt idx="2">
                        <c:v>16504</c:v>
                      </c:pt>
                      <c:pt idx="3">
                        <c:v>27085</c:v>
                      </c:pt>
                      <c:pt idx="4">
                        <c:v>20465</c:v>
                      </c:pt>
                      <c:pt idx="5">
                        <c:v>9311</c:v>
                      </c:pt>
                      <c:pt idx="6">
                        <c:v>13178</c:v>
                      </c:pt>
                      <c:pt idx="7">
                        <c:v>11089</c:v>
                      </c:pt>
                      <c:pt idx="8">
                        <c:v>10311</c:v>
                      </c:pt>
                      <c:pt idx="9">
                        <c:v>16341</c:v>
                      </c:pt>
                      <c:pt idx="10">
                        <c:v>10462</c:v>
                      </c:pt>
                      <c:pt idx="11">
                        <c:v>26687</c:v>
                      </c:pt>
                      <c:pt idx="12">
                        <c:v>31736</c:v>
                      </c:pt>
                      <c:pt idx="13">
                        <c:v>10927</c:v>
                      </c:pt>
                      <c:pt idx="14">
                        <c:v>9747</c:v>
                      </c:pt>
                      <c:pt idx="15">
                        <c:v>23919</c:v>
                      </c:pt>
                      <c:pt idx="16">
                        <c:v>15729</c:v>
                      </c:pt>
                      <c:pt idx="17">
                        <c:v>17773</c:v>
                      </c:pt>
                      <c:pt idx="18">
                        <c:v>20122</c:v>
                      </c:pt>
                      <c:pt idx="19">
                        <c:v>36318</c:v>
                      </c:pt>
                      <c:pt idx="20">
                        <c:v>65950</c:v>
                      </c:pt>
                      <c:pt idx="21">
                        <c:v>105148</c:v>
                      </c:pt>
                      <c:pt idx="22">
                        <c:v>138172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3A05-4D58-938D-0A7C9254766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엘오티베큠!$B$61</c15:sqref>
                        </c15:formulaRef>
                      </c:ext>
                    </c:extLst>
                    <c:strCache>
                      <c:ptCount val="1"/>
                      <c:pt idx="0">
                        <c:v> 재고자산 총액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엘오티베큠!$C$5:$Y$5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엘오티베큠!$C$61:$Y$61</c15:sqref>
                        </c15:formulaRef>
                      </c:ext>
                    </c:extLst>
                    <c:numCache>
                      <c:formatCode>_-* #,##0_-;\-* #,##0_-;_-* "-"_-;_-@</c:formatCode>
                      <c:ptCount val="23"/>
                      <c:pt idx="0">
                        <c:v>37387</c:v>
                      </c:pt>
                      <c:pt idx="1">
                        <c:v>30081</c:v>
                      </c:pt>
                      <c:pt idx="2">
                        <c:v>19127</c:v>
                      </c:pt>
                      <c:pt idx="3">
                        <c:v>18983</c:v>
                      </c:pt>
                      <c:pt idx="4">
                        <c:v>23621</c:v>
                      </c:pt>
                      <c:pt idx="5">
                        <c:v>23572</c:v>
                      </c:pt>
                      <c:pt idx="6">
                        <c:v>20914</c:v>
                      </c:pt>
                      <c:pt idx="7">
                        <c:v>21432</c:v>
                      </c:pt>
                      <c:pt idx="8">
                        <c:v>26706</c:v>
                      </c:pt>
                      <c:pt idx="9">
                        <c:v>27110</c:v>
                      </c:pt>
                      <c:pt idx="10">
                        <c:v>28355</c:v>
                      </c:pt>
                      <c:pt idx="11">
                        <c:v>25609</c:v>
                      </c:pt>
                      <c:pt idx="12">
                        <c:v>29772</c:v>
                      </c:pt>
                      <c:pt idx="13">
                        <c:v>31831</c:v>
                      </c:pt>
                      <c:pt idx="14">
                        <c:v>24598</c:v>
                      </c:pt>
                      <c:pt idx="15">
                        <c:v>31828</c:v>
                      </c:pt>
                      <c:pt idx="16">
                        <c:v>37080</c:v>
                      </c:pt>
                      <c:pt idx="17">
                        <c:v>37153</c:v>
                      </c:pt>
                      <c:pt idx="18">
                        <c:v>35239</c:v>
                      </c:pt>
                      <c:pt idx="19">
                        <c:v>45006</c:v>
                      </c:pt>
                      <c:pt idx="20">
                        <c:v>51901</c:v>
                      </c:pt>
                      <c:pt idx="21">
                        <c:v>54644</c:v>
                      </c:pt>
                      <c:pt idx="22">
                        <c:v>66257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A05-4D58-938D-0A7C92547660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2"/>
          <c:order val="2"/>
          <c:tx>
            <c:strRef>
              <c:f>엘오티베큠!$B$50</c:f>
              <c:strCache>
                <c:ptCount val="1"/>
                <c:pt idx="0">
                  <c:v> 외주가공비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엘오티베큠!$C$5:$Y$5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엘오티베큠!$C$50:$Y$50</c:f>
              <c:numCache>
                <c:formatCode>_(* #,##0_);_(* \(#,##0\);_(* "-"_);_(@_)</c:formatCode>
                <c:ptCount val="23"/>
                <c:pt idx="8">
                  <c:v>1958</c:v>
                </c:pt>
                <c:pt idx="9">
                  <c:v>1375</c:v>
                </c:pt>
                <c:pt idx="10">
                  <c:v>1628</c:v>
                </c:pt>
                <c:pt idx="11">
                  <c:v>1341</c:v>
                </c:pt>
                <c:pt idx="12">
                  <c:v>2990</c:v>
                </c:pt>
                <c:pt idx="13">
                  <c:v>5766</c:v>
                </c:pt>
                <c:pt idx="14">
                  <c:v>5237</c:v>
                </c:pt>
                <c:pt idx="15">
                  <c:v>9373</c:v>
                </c:pt>
                <c:pt idx="16">
                  <c:v>7518</c:v>
                </c:pt>
                <c:pt idx="17">
                  <c:v>7932</c:v>
                </c:pt>
                <c:pt idx="18">
                  <c:v>7351</c:v>
                </c:pt>
                <c:pt idx="19">
                  <c:v>4297</c:v>
                </c:pt>
                <c:pt idx="20">
                  <c:v>10139</c:v>
                </c:pt>
                <c:pt idx="21">
                  <c:v>11265</c:v>
                </c:pt>
                <c:pt idx="22">
                  <c:v>15441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05-4D58-938D-0A7C925476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591743"/>
        <c:axId val="502590911"/>
      </c:lineChart>
      <c:catAx>
        <c:axId val="502464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6367"/>
        <c:crosses val="autoZero"/>
        <c:auto val="1"/>
        <c:lblAlgn val="ctr"/>
        <c:lblOffset val="100"/>
        <c:noMultiLvlLbl val="0"/>
      </c:catAx>
      <c:valAx>
        <c:axId val="502466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_-;_-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4703"/>
        <c:crosses val="autoZero"/>
        <c:crossBetween val="between"/>
      </c:valAx>
      <c:valAx>
        <c:axId val="502590911"/>
        <c:scaling>
          <c:orientation val="minMax"/>
        </c:scaling>
        <c:delete val="0"/>
        <c:axPos val="r"/>
        <c:numFmt formatCode="_(* #,##0_);_(* \(#,##0\);_(* &quot;-&quot;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591743"/>
        <c:crosses val="max"/>
        <c:crossBetween val="between"/>
      </c:valAx>
      <c:catAx>
        <c:axId val="50259174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0259091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엘오티베큠!$B$44</c:f>
              <c:strCache>
                <c:ptCount val="1"/>
                <c:pt idx="0">
                  <c:v> 수주 잔고 계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엘오티베큠!$C$41:$Y$41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엘오티베큠!$C$44:$Y$44</c:f>
              <c:numCache>
                <c:formatCode>_(* #,##0_);_(* \(#,##0\);_(* "-"_);_(@_)</c:formatCode>
                <c:ptCount val="23"/>
                <c:pt idx="0">
                  <c:v>32694</c:v>
                </c:pt>
                <c:pt idx="1">
                  <c:v>20521</c:v>
                </c:pt>
                <c:pt idx="2">
                  <c:v>16504</c:v>
                </c:pt>
                <c:pt idx="3">
                  <c:v>27085</c:v>
                </c:pt>
                <c:pt idx="4">
                  <c:v>20465</c:v>
                </c:pt>
                <c:pt idx="5">
                  <c:v>9311</c:v>
                </c:pt>
                <c:pt idx="6">
                  <c:v>13178</c:v>
                </c:pt>
                <c:pt idx="7">
                  <c:v>11089</c:v>
                </c:pt>
                <c:pt idx="8">
                  <c:v>10311</c:v>
                </c:pt>
                <c:pt idx="9">
                  <c:v>16341</c:v>
                </c:pt>
                <c:pt idx="10">
                  <c:v>10462</c:v>
                </c:pt>
                <c:pt idx="11">
                  <c:v>26687</c:v>
                </c:pt>
                <c:pt idx="12">
                  <c:v>31736</c:v>
                </c:pt>
                <c:pt idx="13">
                  <c:v>10927</c:v>
                </c:pt>
                <c:pt idx="14">
                  <c:v>9747</c:v>
                </c:pt>
                <c:pt idx="15">
                  <c:v>23919</c:v>
                </c:pt>
                <c:pt idx="16">
                  <c:v>15729</c:v>
                </c:pt>
                <c:pt idx="17">
                  <c:v>17773</c:v>
                </c:pt>
                <c:pt idx="18">
                  <c:v>20122</c:v>
                </c:pt>
                <c:pt idx="19">
                  <c:v>36318</c:v>
                </c:pt>
                <c:pt idx="20">
                  <c:v>65950</c:v>
                </c:pt>
                <c:pt idx="21">
                  <c:v>105148</c:v>
                </c:pt>
                <c:pt idx="22">
                  <c:v>138172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65-4A82-A3AD-B584E7B8A523}"/>
            </c:ext>
          </c:extLst>
        </c:ser>
        <c:ser>
          <c:idx val="3"/>
          <c:order val="3"/>
          <c:tx>
            <c:strRef>
              <c:f>엘오티베큠!$B$61</c:f>
              <c:strCache>
                <c:ptCount val="1"/>
                <c:pt idx="0">
                  <c:v> 재고자산 총액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엘오티베큠!$C$61:$Y$61</c:f>
              <c:numCache>
                <c:formatCode>_-* #,##0_-;\-* #,##0_-;_-* "-"_-;_-@</c:formatCode>
                <c:ptCount val="23"/>
                <c:pt idx="0">
                  <c:v>37387</c:v>
                </c:pt>
                <c:pt idx="1">
                  <c:v>30081</c:v>
                </c:pt>
                <c:pt idx="2">
                  <c:v>19127</c:v>
                </c:pt>
                <c:pt idx="3">
                  <c:v>18983</c:v>
                </c:pt>
                <c:pt idx="4">
                  <c:v>23621</c:v>
                </c:pt>
                <c:pt idx="5">
                  <c:v>23572</c:v>
                </c:pt>
                <c:pt idx="6">
                  <c:v>20914</c:v>
                </c:pt>
                <c:pt idx="7">
                  <c:v>21432</c:v>
                </c:pt>
                <c:pt idx="8">
                  <c:v>26706</c:v>
                </c:pt>
                <c:pt idx="9">
                  <c:v>27110</c:v>
                </c:pt>
                <c:pt idx="10">
                  <c:v>28355</c:v>
                </c:pt>
                <c:pt idx="11">
                  <c:v>25609</c:v>
                </c:pt>
                <c:pt idx="12">
                  <c:v>29772</c:v>
                </c:pt>
                <c:pt idx="13">
                  <c:v>31831</c:v>
                </c:pt>
                <c:pt idx="14">
                  <c:v>24598</c:v>
                </c:pt>
                <c:pt idx="15">
                  <c:v>31828</c:v>
                </c:pt>
                <c:pt idx="16">
                  <c:v>37080</c:v>
                </c:pt>
                <c:pt idx="17">
                  <c:v>37153</c:v>
                </c:pt>
                <c:pt idx="18">
                  <c:v>35239</c:v>
                </c:pt>
                <c:pt idx="19">
                  <c:v>45006</c:v>
                </c:pt>
                <c:pt idx="20">
                  <c:v>51901</c:v>
                </c:pt>
                <c:pt idx="21">
                  <c:v>54644</c:v>
                </c:pt>
                <c:pt idx="22">
                  <c:v>66257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165-4A82-A3AD-B584E7B8A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464703"/>
        <c:axId val="502466367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엘오티베큠!$B$6</c15:sqref>
                        </c15:formulaRef>
                      </c:ext>
                    </c:extLst>
                    <c:strCache>
                      <c:ptCount val="1"/>
                      <c:pt idx="0">
                        <c:v> 매출액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엘오티베큠!$C$6:$Y$6</c15:sqref>
                        </c15:formulaRef>
                      </c:ext>
                    </c:extLst>
                    <c:numCache>
                      <c:formatCode>_-* #,##0_-;\-* #,##0_-;_-* "-"_-;_-@</c:formatCode>
                      <c:ptCount val="23"/>
                      <c:pt idx="0">
                        <c:v>41628</c:v>
                      </c:pt>
                      <c:pt idx="1">
                        <c:v>67288</c:v>
                      </c:pt>
                      <c:pt idx="2">
                        <c:v>47841</c:v>
                      </c:pt>
                      <c:pt idx="3">
                        <c:v>43988</c:v>
                      </c:pt>
                      <c:pt idx="4">
                        <c:v>51750</c:v>
                      </c:pt>
                      <c:pt idx="5">
                        <c:v>52968</c:v>
                      </c:pt>
                      <c:pt idx="6">
                        <c:v>29628</c:v>
                      </c:pt>
                      <c:pt idx="7">
                        <c:v>34968</c:v>
                      </c:pt>
                      <c:pt idx="8">
                        <c:v>36153</c:v>
                      </c:pt>
                      <c:pt idx="9">
                        <c:v>31544</c:v>
                      </c:pt>
                      <c:pt idx="10">
                        <c:v>35413</c:v>
                      </c:pt>
                      <c:pt idx="11">
                        <c:v>47135</c:v>
                      </c:pt>
                      <c:pt idx="12">
                        <c:v>54852</c:v>
                      </c:pt>
                      <c:pt idx="13">
                        <c:v>41685</c:v>
                      </c:pt>
                      <c:pt idx="14">
                        <c:v>43004</c:v>
                      </c:pt>
                      <c:pt idx="15">
                        <c:v>31698</c:v>
                      </c:pt>
                      <c:pt idx="16">
                        <c:v>72704</c:v>
                      </c:pt>
                      <c:pt idx="17">
                        <c:v>77883</c:v>
                      </c:pt>
                      <c:pt idx="18">
                        <c:v>51315</c:v>
                      </c:pt>
                      <c:pt idx="19">
                        <c:v>57694</c:v>
                      </c:pt>
                      <c:pt idx="20">
                        <c:v>75049</c:v>
                      </c:pt>
                      <c:pt idx="21">
                        <c:v>84201</c:v>
                      </c:pt>
                      <c:pt idx="22">
                        <c:v>103664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D165-4A82-A3AD-B584E7B8A523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엘오티베큠!$B$50</c15:sqref>
                        </c15:formulaRef>
                      </c:ext>
                    </c:extLst>
                    <c:strCache>
                      <c:ptCount val="1"/>
                      <c:pt idx="0">
                        <c:v> 외주가공비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엘오티베큠!$C$50:$Y$50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8">
                        <c:v>1958</c:v>
                      </c:pt>
                      <c:pt idx="9">
                        <c:v>1375</c:v>
                      </c:pt>
                      <c:pt idx="10">
                        <c:v>1628</c:v>
                      </c:pt>
                      <c:pt idx="11">
                        <c:v>1341</c:v>
                      </c:pt>
                      <c:pt idx="12">
                        <c:v>2990</c:v>
                      </c:pt>
                      <c:pt idx="13">
                        <c:v>5766</c:v>
                      </c:pt>
                      <c:pt idx="14">
                        <c:v>5237</c:v>
                      </c:pt>
                      <c:pt idx="15">
                        <c:v>9373</c:v>
                      </c:pt>
                      <c:pt idx="16">
                        <c:v>7518</c:v>
                      </c:pt>
                      <c:pt idx="17">
                        <c:v>7932</c:v>
                      </c:pt>
                      <c:pt idx="18">
                        <c:v>7351</c:v>
                      </c:pt>
                      <c:pt idx="19">
                        <c:v>4297</c:v>
                      </c:pt>
                      <c:pt idx="20">
                        <c:v>10139</c:v>
                      </c:pt>
                      <c:pt idx="21">
                        <c:v>11265</c:v>
                      </c:pt>
                      <c:pt idx="22">
                        <c:v>15441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165-4A82-A3AD-B584E7B8A523}"/>
                  </c:ext>
                </c:extLst>
              </c15:ser>
            </c15:filteredLineSeries>
          </c:ext>
        </c:extLst>
      </c:lineChart>
      <c:catAx>
        <c:axId val="502464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6367"/>
        <c:crosses val="autoZero"/>
        <c:auto val="1"/>
        <c:lblAlgn val="ctr"/>
        <c:lblOffset val="100"/>
        <c:noMultiLvlLbl val="0"/>
      </c:catAx>
      <c:valAx>
        <c:axId val="502466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4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엘오티베큠!$B$45</c:f>
              <c:strCache>
                <c:ptCount val="1"/>
                <c:pt idx="0">
                  <c:v> 수주 잔고 1분기 래깅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엘오티베큠!$C$41:$Z$41</c:f>
              <c:strCache>
                <c:ptCount val="24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  <c:pt idx="23">
                  <c:v> 22.4q</c:v>
                </c:pt>
              </c:strCache>
            </c:strRef>
          </c:cat>
          <c:val>
            <c:numRef>
              <c:f>엘오티베큠!$C$45:$Z$45</c:f>
              <c:numCache>
                <c:formatCode>_(* #,##0_);_(* \(#,##0\);_(* "-"_);_(@_)</c:formatCode>
                <c:ptCount val="24"/>
                <c:pt idx="1">
                  <c:v>32694</c:v>
                </c:pt>
                <c:pt idx="2">
                  <c:v>20521</c:v>
                </c:pt>
                <c:pt idx="3">
                  <c:v>16504</c:v>
                </c:pt>
                <c:pt idx="4">
                  <c:v>27085</c:v>
                </c:pt>
                <c:pt idx="5">
                  <c:v>20465</c:v>
                </c:pt>
                <c:pt idx="6">
                  <c:v>9311</c:v>
                </c:pt>
                <c:pt idx="7">
                  <c:v>13178</c:v>
                </c:pt>
                <c:pt idx="8">
                  <c:v>11089</c:v>
                </c:pt>
                <c:pt idx="9">
                  <c:v>10311</c:v>
                </c:pt>
                <c:pt idx="10">
                  <c:v>16341</c:v>
                </c:pt>
                <c:pt idx="11">
                  <c:v>10462</c:v>
                </c:pt>
                <c:pt idx="12">
                  <c:v>26687</c:v>
                </c:pt>
                <c:pt idx="13">
                  <c:v>31736</c:v>
                </c:pt>
                <c:pt idx="14">
                  <c:v>10927</c:v>
                </c:pt>
                <c:pt idx="15">
                  <c:v>9747</c:v>
                </c:pt>
                <c:pt idx="16">
                  <c:v>23919</c:v>
                </c:pt>
                <c:pt idx="17">
                  <c:v>15729</c:v>
                </c:pt>
                <c:pt idx="18">
                  <c:v>17773</c:v>
                </c:pt>
                <c:pt idx="19">
                  <c:v>20122</c:v>
                </c:pt>
                <c:pt idx="20">
                  <c:v>36318</c:v>
                </c:pt>
                <c:pt idx="21">
                  <c:v>65950</c:v>
                </c:pt>
                <c:pt idx="22">
                  <c:v>105148</c:v>
                </c:pt>
                <c:pt idx="23" formatCode="_-* #,##0_-;\-* #,##0_-;_-* &quot;-&quot;_-;_-@">
                  <c:v>138172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10-4BBA-ABF6-987C5B0D021F}"/>
            </c:ext>
          </c:extLst>
        </c:ser>
        <c:ser>
          <c:idx val="1"/>
          <c:order val="1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엘오티베큠!$C$41:$Z$41</c:f>
              <c:strCache>
                <c:ptCount val="24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  <c:pt idx="23">
                  <c:v> 22.4q</c:v>
                </c:pt>
              </c:strCache>
            </c:strRef>
          </c:cat>
          <c:val>
            <c:numRef>
              <c:f>엘오티베큠!$C$6:$Z$6</c:f>
              <c:numCache>
                <c:formatCode>_-* #,##0_-;\-* #,##0_-;_-* "-"_-;_-@</c:formatCode>
                <c:ptCount val="24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10-4BBA-ABF6-987C5B0D0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464703"/>
        <c:axId val="502466367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엘오티베큠!$B$50</c15:sqref>
                        </c15:formulaRef>
                      </c:ext>
                    </c:extLst>
                    <c:strCache>
                      <c:ptCount val="1"/>
                      <c:pt idx="0">
                        <c:v> 외주가공비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엘오티베큠!$C$41:$Z$41</c15:sqref>
                        </c15:formulaRef>
                      </c:ext>
                    </c:extLst>
                    <c:strCache>
                      <c:ptCount val="24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  <c:pt idx="23">
                        <c:v> 22.4q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엘오티베큠!$C$50:$Y$50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8">
                        <c:v>1958</c:v>
                      </c:pt>
                      <c:pt idx="9">
                        <c:v>1375</c:v>
                      </c:pt>
                      <c:pt idx="10">
                        <c:v>1628</c:v>
                      </c:pt>
                      <c:pt idx="11">
                        <c:v>1341</c:v>
                      </c:pt>
                      <c:pt idx="12">
                        <c:v>2990</c:v>
                      </c:pt>
                      <c:pt idx="13">
                        <c:v>5766</c:v>
                      </c:pt>
                      <c:pt idx="14">
                        <c:v>5237</c:v>
                      </c:pt>
                      <c:pt idx="15">
                        <c:v>9373</c:v>
                      </c:pt>
                      <c:pt idx="16">
                        <c:v>7518</c:v>
                      </c:pt>
                      <c:pt idx="17">
                        <c:v>7932</c:v>
                      </c:pt>
                      <c:pt idx="18">
                        <c:v>7351</c:v>
                      </c:pt>
                      <c:pt idx="19">
                        <c:v>4297</c:v>
                      </c:pt>
                      <c:pt idx="20">
                        <c:v>10139</c:v>
                      </c:pt>
                      <c:pt idx="21">
                        <c:v>11265</c:v>
                      </c:pt>
                      <c:pt idx="22">
                        <c:v>15441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C910-4BBA-ABF6-987C5B0D021F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엘오티베큠!$B$61</c15:sqref>
                        </c15:formulaRef>
                      </c:ext>
                    </c:extLst>
                    <c:strCache>
                      <c:ptCount val="1"/>
                      <c:pt idx="0">
                        <c:v> 재고자산 총액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엘오티베큠!$C$41:$Z$41</c15:sqref>
                        </c15:formulaRef>
                      </c:ext>
                    </c:extLst>
                    <c:strCache>
                      <c:ptCount val="24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  <c:pt idx="23">
                        <c:v> 22.4q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엘오티베큠!$C$61:$Y$61</c15:sqref>
                        </c15:formulaRef>
                      </c:ext>
                    </c:extLst>
                    <c:numCache>
                      <c:formatCode>_-* #,##0_-;\-* #,##0_-;_-* "-"_-;_-@</c:formatCode>
                      <c:ptCount val="23"/>
                      <c:pt idx="0">
                        <c:v>37387</c:v>
                      </c:pt>
                      <c:pt idx="1">
                        <c:v>30081</c:v>
                      </c:pt>
                      <c:pt idx="2">
                        <c:v>19127</c:v>
                      </c:pt>
                      <c:pt idx="3">
                        <c:v>18983</c:v>
                      </c:pt>
                      <c:pt idx="4">
                        <c:v>23621</c:v>
                      </c:pt>
                      <c:pt idx="5">
                        <c:v>23572</c:v>
                      </c:pt>
                      <c:pt idx="6">
                        <c:v>20914</c:v>
                      </c:pt>
                      <c:pt idx="7">
                        <c:v>21432</c:v>
                      </c:pt>
                      <c:pt idx="8">
                        <c:v>26706</c:v>
                      </c:pt>
                      <c:pt idx="9">
                        <c:v>27110</c:v>
                      </c:pt>
                      <c:pt idx="10">
                        <c:v>28355</c:v>
                      </c:pt>
                      <c:pt idx="11">
                        <c:v>25609</c:v>
                      </c:pt>
                      <c:pt idx="12">
                        <c:v>29772</c:v>
                      </c:pt>
                      <c:pt idx="13">
                        <c:v>31831</c:v>
                      </c:pt>
                      <c:pt idx="14">
                        <c:v>24598</c:v>
                      </c:pt>
                      <c:pt idx="15">
                        <c:v>31828</c:v>
                      </c:pt>
                      <c:pt idx="16">
                        <c:v>37080</c:v>
                      </c:pt>
                      <c:pt idx="17">
                        <c:v>37153</c:v>
                      </c:pt>
                      <c:pt idx="18">
                        <c:v>35239</c:v>
                      </c:pt>
                      <c:pt idx="19">
                        <c:v>45006</c:v>
                      </c:pt>
                      <c:pt idx="20">
                        <c:v>51901</c:v>
                      </c:pt>
                      <c:pt idx="21">
                        <c:v>54644</c:v>
                      </c:pt>
                      <c:pt idx="22">
                        <c:v>66257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C910-4BBA-ABF6-987C5B0D021F}"/>
                  </c:ext>
                </c:extLst>
              </c15:ser>
            </c15:filteredLineSeries>
          </c:ext>
        </c:extLst>
      </c:lineChart>
      <c:catAx>
        <c:axId val="502464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6367"/>
        <c:crosses val="autoZero"/>
        <c:auto val="1"/>
        <c:lblAlgn val="ctr"/>
        <c:lblOffset val="100"/>
        <c:noMultiLvlLbl val="0"/>
      </c:catAx>
      <c:valAx>
        <c:axId val="502466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2464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종속기업 자산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엘오티베큠!$B$75</c:f>
              <c:strCache>
                <c:ptCount val="1"/>
                <c:pt idx="0">
                  <c:v>LOT VACUUM AMERICA, INC. 영업. 서비스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엘오티베큠!$C$74:$Y$74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엘오티베큠!$C$75:$Y$75</c:f>
              <c:numCache>
                <c:formatCode>_(* #,##0_);_(* \(#,##0\);_(* "-"_);_(@_)</c:formatCode>
                <c:ptCount val="23"/>
                <c:pt idx="0">
                  <c:v>2300</c:v>
                </c:pt>
                <c:pt idx="1">
                  <c:v>2397</c:v>
                </c:pt>
                <c:pt idx="2">
                  <c:v>2136</c:v>
                </c:pt>
                <c:pt idx="3">
                  <c:v>2110</c:v>
                </c:pt>
                <c:pt idx="4">
                  <c:v>2071</c:v>
                </c:pt>
                <c:pt idx="5">
                  <c:v>2336</c:v>
                </c:pt>
                <c:pt idx="6">
                  <c:v>1946</c:v>
                </c:pt>
                <c:pt idx="7">
                  <c:v>2431</c:v>
                </c:pt>
                <c:pt idx="8">
                  <c:v>2822</c:v>
                </c:pt>
                <c:pt idx="9">
                  <c:v>2753</c:v>
                </c:pt>
                <c:pt idx="10">
                  <c:v>2548</c:v>
                </c:pt>
                <c:pt idx="11">
                  <c:v>3497</c:v>
                </c:pt>
                <c:pt idx="12">
                  <c:v>4092</c:v>
                </c:pt>
                <c:pt idx="13">
                  <c:v>3866</c:v>
                </c:pt>
                <c:pt idx="14">
                  <c:v>3741</c:v>
                </c:pt>
                <c:pt idx="15">
                  <c:v>3381</c:v>
                </c:pt>
                <c:pt idx="16">
                  <c:v>4081</c:v>
                </c:pt>
                <c:pt idx="17">
                  <c:v>4439</c:v>
                </c:pt>
                <c:pt idx="18">
                  <c:v>3958</c:v>
                </c:pt>
                <c:pt idx="19">
                  <c:v>3932</c:v>
                </c:pt>
                <c:pt idx="20">
                  <c:v>4149</c:v>
                </c:pt>
                <c:pt idx="21">
                  <c:v>4115</c:v>
                </c:pt>
                <c:pt idx="22">
                  <c:v>5058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D3-455D-8461-88166848C69D}"/>
            </c:ext>
          </c:extLst>
        </c:ser>
        <c:ser>
          <c:idx val="1"/>
          <c:order val="1"/>
          <c:tx>
            <c:strRef>
              <c:f>엘오티베큠!$B$76</c:f>
              <c:strCache>
                <c:ptCount val="1"/>
                <c:pt idx="0">
                  <c:v>(주)엘오티머트리얼즈 자산 - 가공 부품 제조.판매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엘오티베큠!$C$74:$Y$74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엘오티베큠!$C$76:$Y$76</c:f>
              <c:numCache>
                <c:formatCode>_(* #,##0_);_(* \(#,##0\);_(* "-"_);_(@_)</c:formatCode>
                <c:ptCount val="23"/>
                <c:pt idx="0">
                  <c:v>4927</c:v>
                </c:pt>
                <c:pt idx="1">
                  <c:v>5098</c:v>
                </c:pt>
                <c:pt idx="2">
                  <c:v>4752</c:v>
                </c:pt>
                <c:pt idx="3">
                  <c:v>4717</c:v>
                </c:pt>
                <c:pt idx="4">
                  <c:v>5566</c:v>
                </c:pt>
                <c:pt idx="5">
                  <c:v>5383</c:v>
                </c:pt>
                <c:pt idx="6">
                  <c:v>4455</c:v>
                </c:pt>
                <c:pt idx="7">
                  <c:v>4771</c:v>
                </c:pt>
                <c:pt idx="8">
                  <c:v>5044</c:v>
                </c:pt>
                <c:pt idx="9">
                  <c:v>4208</c:v>
                </c:pt>
                <c:pt idx="10">
                  <c:v>5261</c:v>
                </c:pt>
                <c:pt idx="11">
                  <c:v>5347</c:v>
                </c:pt>
                <c:pt idx="12">
                  <c:v>5919</c:v>
                </c:pt>
                <c:pt idx="13">
                  <c:v>9616</c:v>
                </c:pt>
                <c:pt idx="14">
                  <c:v>8069</c:v>
                </c:pt>
                <c:pt idx="15">
                  <c:v>10594</c:v>
                </c:pt>
                <c:pt idx="16">
                  <c:v>10859</c:v>
                </c:pt>
                <c:pt idx="17">
                  <c:v>11021</c:v>
                </c:pt>
                <c:pt idx="18">
                  <c:v>11254</c:v>
                </c:pt>
                <c:pt idx="19">
                  <c:v>11661</c:v>
                </c:pt>
                <c:pt idx="20">
                  <c:v>13455</c:v>
                </c:pt>
                <c:pt idx="21">
                  <c:v>14825</c:v>
                </c:pt>
                <c:pt idx="22">
                  <c:v>17724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D3-455D-8461-88166848C69D}"/>
            </c:ext>
          </c:extLst>
        </c:ser>
        <c:ser>
          <c:idx val="2"/>
          <c:order val="2"/>
          <c:tx>
            <c:strRef>
              <c:f>엘오티베큠!$B$77</c:f>
              <c:strCache>
                <c:ptCount val="1"/>
                <c:pt idx="0">
                  <c:v>엘오티진공기술서안유한공사(*1) - 영업. 서비스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엘오티베큠!$C$74:$Y$74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엘오티베큠!$C$77:$Y$77</c:f>
              <c:numCache>
                <c:formatCode>_(* #,##0_);_(* \(#,##0\);_(* "-"_);_(@_)</c:formatCode>
                <c:ptCount val="23"/>
                <c:pt idx="0">
                  <c:v>5017</c:v>
                </c:pt>
                <c:pt idx="1">
                  <c:v>6169</c:v>
                </c:pt>
                <c:pt idx="2">
                  <c:v>6339</c:v>
                </c:pt>
                <c:pt idx="3">
                  <c:v>5790</c:v>
                </c:pt>
                <c:pt idx="4">
                  <c:v>5775</c:v>
                </c:pt>
                <c:pt idx="5">
                  <c:v>6709</c:v>
                </c:pt>
                <c:pt idx="6">
                  <c:v>8688</c:v>
                </c:pt>
                <c:pt idx="7">
                  <c:v>9670</c:v>
                </c:pt>
                <c:pt idx="8">
                  <c:v>10362</c:v>
                </c:pt>
                <c:pt idx="9">
                  <c:v>12891</c:v>
                </c:pt>
                <c:pt idx="10">
                  <c:v>14999</c:v>
                </c:pt>
                <c:pt idx="11">
                  <c:v>16508</c:v>
                </c:pt>
                <c:pt idx="12">
                  <c:v>18860</c:v>
                </c:pt>
                <c:pt idx="13">
                  <c:v>17740</c:v>
                </c:pt>
                <c:pt idx="14">
                  <c:v>20148</c:v>
                </c:pt>
                <c:pt idx="15">
                  <c:v>14225</c:v>
                </c:pt>
                <c:pt idx="16">
                  <c:v>14794</c:v>
                </c:pt>
                <c:pt idx="17">
                  <c:v>14593</c:v>
                </c:pt>
                <c:pt idx="18">
                  <c:v>13948</c:v>
                </c:pt>
                <c:pt idx="19">
                  <c:v>15364</c:v>
                </c:pt>
                <c:pt idx="20">
                  <c:v>14731</c:v>
                </c:pt>
                <c:pt idx="21">
                  <c:v>14194</c:v>
                </c:pt>
                <c:pt idx="22">
                  <c:v>15379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D3-455D-8461-88166848C69D}"/>
            </c:ext>
          </c:extLst>
        </c:ser>
        <c:ser>
          <c:idx val="3"/>
          <c:order val="3"/>
          <c:tx>
            <c:strRef>
              <c:f>엘오티베큠!$B$78</c:f>
              <c:strCache>
                <c:ptCount val="1"/>
                <c:pt idx="0">
                  <c:v>(주)엘오티씨이에스(*2) - 제조.판매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엘오티베큠!$C$74:$Y$74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엘오티베큠!$C$78:$Y$78</c:f>
              <c:numCache>
                <c:formatCode>_(* #,##0_);_(* \(#,##0\);_(* "-"_);_(@_)</c:formatCode>
                <c:ptCount val="23"/>
                <c:pt idx="0">
                  <c:v>4422</c:v>
                </c:pt>
                <c:pt idx="1">
                  <c:v>4879</c:v>
                </c:pt>
                <c:pt idx="2">
                  <c:v>4085</c:v>
                </c:pt>
                <c:pt idx="3">
                  <c:v>4143</c:v>
                </c:pt>
                <c:pt idx="4">
                  <c:v>4100</c:v>
                </c:pt>
                <c:pt idx="5">
                  <c:v>4307</c:v>
                </c:pt>
                <c:pt idx="6">
                  <c:v>4620</c:v>
                </c:pt>
                <c:pt idx="7">
                  <c:v>4094</c:v>
                </c:pt>
                <c:pt idx="8">
                  <c:v>3907</c:v>
                </c:pt>
                <c:pt idx="9">
                  <c:v>3755</c:v>
                </c:pt>
                <c:pt idx="10">
                  <c:v>4031</c:v>
                </c:pt>
                <c:pt idx="11">
                  <c:v>3647</c:v>
                </c:pt>
                <c:pt idx="12">
                  <c:v>4272</c:v>
                </c:pt>
                <c:pt idx="13">
                  <c:v>4972</c:v>
                </c:pt>
                <c:pt idx="14">
                  <c:v>5476</c:v>
                </c:pt>
                <c:pt idx="15">
                  <c:v>5050</c:v>
                </c:pt>
                <c:pt idx="16">
                  <c:v>5155</c:v>
                </c:pt>
                <c:pt idx="17">
                  <c:v>5921</c:v>
                </c:pt>
                <c:pt idx="18">
                  <c:v>6344</c:v>
                </c:pt>
                <c:pt idx="19">
                  <c:v>6783</c:v>
                </c:pt>
                <c:pt idx="20">
                  <c:v>47332</c:v>
                </c:pt>
                <c:pt idx="21">
                  <c:v>48143</c:v>
                </c:pt>
                <c:pt idx="22">
                  <c:v>50228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2D3-455D-8461-88166848C69D}"/>
            </c:ext>
          </c:extLst>
        </c:ser>
        <c:ser>
          <c:idx val="4"/>
          <c:order val="4"/>
          <c:tx>
            <c:strRef>
              <c:f>엘오티베큠!$B$79</c:f>
              <c:strCache>
                <c:ptCount val="1"/>
                <c:pt idx="0">
                  <c:v>(주)에이치인베스트먼트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엘오티베큠!$C$74:$Y$74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엘오티베큠!$C$79:$Y$79</c:f>
              <c:numCache>
                <c:formatCode>_(* #,##0_);_(* \(#,##0\);_(* "-"_);_(@_)</c:formatCode>
                <c:ptCount val="23"/>
                <c:pt idx="16">
                  <c:v>3041</c:v>
                </c:pt>
                <c:pt idx="17">
                  <c:v>3015</c:v>
                </c:pt>
                <c:pt idx="18">
                  <c:v>2974</c:v>
                </c:pt>
                <c:pt idx="19">
                  <c:v>2928</c:v>
                </c:pt>
                <c:pt idx="20">
                  <c:v>2824</c:v>
                </c:pt>
                <c:pt idx="21">
                  <c:v>2353</c:v>
                </c:pt>
                <c:pt idx="22">
                  <c:v>3814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2D3-455D-8461-88166848C69D}"/>
            </c:ext>
          </c:extLst>
        </c:ser>
        <c:ser>
          <c:idx val="5"/>
          <c:order val="5"/>
          <c:tx>
            <c:strRef>
              <c:f>엘오티베큠!$B$80</c:f>
              <c:strCache>
                <c:ptCount val="1"/>
                <c:pt idx="0">
                  <c:v>(주)엘오티티에스 - 진공펌프 수리업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엘오티베큠!$C$74:$Y$74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엘오티베큠!$C$80:$Y$80</c:f>
              <c:numCache>
                <c:formatCode>_(* #,##0_);_(* \(#,##0\);_(* "-"_);_(@_)</c:formatCode>
                <c:ptCount val="23"/>
                <c:pt idx="18">
                  <c:v>21762</c:v>
                </c:pt>
                <c:pt idx="19">
                  <c:v>22332</c:v>
                </c:pt>
                <c:pt idx="20">
                  <c:v>20331</c:v>
                </c:pt>
                <c:pt idx="21">
                  <c:v>22879</c:v>
                </c:pt>
                <c:pt idx="22">
                  <c:v>23411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2D3-455D-8461-88166848C6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54410496"/>
        <c:axId val="654403840"/>
      </c:lineChart>
      <c:catAx>
        <c:axId val="654410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54403840"/>
        <c:crosses val="autoZero"/>
        <c:auto val="1"/>
        <c:lblAlgn val="ctr"/>
        <c:lblOffset val="100"/>
        <c:noMultiLvlLbl val="0"/>
      </c:catAx>
      <c:valAx>
        <c:axId val="654403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54410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종속 기업 매출액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엘오티베큠!$B$85</c:f>
              <c:strCache>
                <c:ptCount val="1"/>
                <c:pt idx="0">
                  <c:v>LOT VACUUM AMERICA, INC.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엘오티베큠!$C$85:$Y$85</c:f>
              <c:numCache>
                <c:formatCode>#,##0_ ;[Red]\-#,##0\ </c:formatCode>
                <c:ptCount val="23"/>
                <c:pt idx="0">
                  <c:v>764</c:v>
                </c:pt>
                <c:pt idx="1">
                  <c:v>749</c:v>
                </c:pt>
                <c:pt idx="2">
                  <c:v>788</c:v>
                </c:pt>
                <c:pt idx="3">
                  <c:v>610</c:v>
                </c:pt>
                <c:pt idx="4">
                  <c:v>718</c:v>
                </c:pt>
                <c:pt idx="5">
                  <c:v>616</c:v>
                </c:pt>
                <c:pt idx="6" formatCode="_(* #,##0_);_(* \(#,##0\);_(* &quot;-&quot;_);_(@_)">
                  <c:v>721</c:v>
                </c:pt>
                <c:pt idx="7">
                  <c:v>605</c:v>
                </c:pt>
                <c:pt idx="8">
                  <c:v>761</c:v>
                </c:pt>
                <c:pt idx="9">
                  <c:v>648</c:v>
                </c:pt>
                <c:pt idx="10">
                  <c:v>598</c:v>
                </c:pt>
                <c:pt idx="11">
                  <c:v>2825</c:v>
                </c:pt>
                <c:pt idx="12">
                  <c:v>784</c:v>
                </c:pt>
                <c:pt idx="13">
                  <c:v>660</c:v>
                </c:pt>
                <c:pt idx="14">
                  <c:v>795</c:v>
                </c:pt>
                <c:pt idx="15">
                  <c:v>754</c:v>
                </c:pt>
                <c:pt idx="16">
                  <c:v>1198</c:v>
                </c:pt>
                <c:pt idx="17">
                  <c:v>999</c:v>
                </c:pt>
                <c:pt idx="18">
                  <c:v>958</c:v>
                </c:pt>
                <c:pt idx="19">
                  <c:v>932</c:v>
                </c:pt>
                <c:pt idx="20">
                  <c:v>834</c:v>
                </c:pt>
                <c:pt idx="21">
                  <c:v>821</c:v>
                </c:pt>
                <c:pt idx="22">
                  <c:v>1035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FD-4FEE-A0D1-E00667A2B3F5}"/>
            </c:ext>
          </c:extLst>
        </c:ser>
        <c:ser>
          <c:idx val="1"/>
          <c:order val="1"/>
          <c:tx>
            <c:strRef>
              <c:f>엘오티베큠!$B$86</c:f>
              <c:strCache>
                <c:ptCount val="1"/>
                <c:pt idx="0">
                  <c:v>(주)엘오티머트리얼즈 매출액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엘오티베큠!$C$86:$Y$86</c:f>
              <c:numCache>
                <c:formatCode>#,##0_ ;[Red]\-#,##0\ </c:formatCode>
                <c:ptCount val="23"/>
                <c:pt idx="0">
                  <c:v>2011</c:v>
                </c:pt>
                <c:pt idx="1">
                  <c:v>2171</c:v>
                </c:pt>
                <c:pt idx="2">
                  <c:v>2004</c:v>
                </c:pt>
                <c:pt idx="3">
                  <c:v>1129</c:v>
                </c:pt>
                <c:pt idx="4">
                  <c:v>3342</c:v>
                </c:pt>
                <c:pt idx="5">
                  <c:v>1806</c:v>
                </c:pt>
                <c:pt idx="6" formatCode="_(* #,##0_);_(* \(#,##0\);_(* &quot;-&quot;_);_(@_)">
                  <c:v>1342</c:v>
                </c:pt>
                <c:pt idx="7">
                  <c:v>1803</c:v>
                </c:pt>
                <c:pt idx="8">
                  <c:v>2242</c:v>
                </c:pt>
                <c:pt idx="9">
                  <c:v>1245</c:v>
                </c:pt>
                <c:pt idx="10">
                  <c:v>1877</c:v>
                </c:pt>
                <c:pt idx="11">
                  <c:v>7272</c:v>
                </c:pt>
                <c:pt idx="12">
                  <c:v>2935</c:v>
                </c:pt>
                <c:pt idx="13">
                  <c:v>2222</c:v>
                </c:pt>
                <c:pt idx="14">
                  <c:v>4649</c:v>
                </c:pt>
                <c:pt idx="15">
                  <c:v>6765</c:v>
                </c:pt>
                <c:pt idx="16">
                  <c:v>8518</c:v>
                </c:pt>
                <c:pt idx="17">
                  <c:v>9769</c:v>
                </c:pt>
                <c:pt idx="18">
                  <c:v>6610</c:v>
                </c:pt>
                <c:pt idx="19">
                  <c:v>7963</c:v>
                </c:pt>
                <c:pt idx="20">
                  <c:v>8157</c:v>
                </c:pt>
                <c:pt idx="21">
                  <c:v>17432</c:v>
                </c:pt>
                <c:pt idx="22">
                  <c:v>29607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FD-4FEE-A0D1-E00667A2B3F5}"/>
            </c:ext>
          </c:extLst>
        </c:ser>
        <c:ser>
          <c:idx val="2"/>
          <c:order val="2"/>
          <c:tx>
            <c:strRef>
              <c:f>엘오티베큠!$B$87</c:f>
              <c:strCache>
                <c:ptCount val="1"/>
                <c:pt idx="0">
                  <c:v>엘오티진공기술서안유한공사(*1)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엘오티베큠!$C$87:$Y$87</c:f>
              <c:numCache>
                <c:formatCode>#,##0_ ;[Red]\-#,##0\ </c:formatCode>
                <c:ptCount val="23"/>
                <c:pt idx="0">
                  <c:v>1808</c:v>
                </c:pt>
                <c:pt idx="1">
                  <c:v>2050</c:v>
                </c:pt>
                <c:pt idx="2">
                  <c:v>2798</c:v>
                </c:pt>
                <c:pt idx="3">
                  <c:v>3114</c:v>
                </c:pt>
                <c:pt idx="4">
                  <c:v>3695</c:v>
                </c:pt>
                <c:pt idx="5">
                  <c:v>3468</c:v>
                </c:pt>
                <c:pt idx="6" formatCode="_(* #,##0_);_(* \(#,##0\);_(* &quot;-&quot;_);_(@_)">
                  <c:v>3507</c:v>
                </c:pt>
                <c:pt idx="7">
                  <c:v>3506</c:v>
                </c:pt>
                <c:pt idx="8">
                  <c:v>3563</c:v>
                </c:pt>
                <c:pt idx="9">
                  <c:v>1795</c:v>
                </c:pt>
                <c:pt idx="10">
                  <c:v>1458</c:v>
                </c:pt>
                <c:pt idx="11">
                  <c:v>8352</c:v>
                </c:pt>
                <c:pt idx="12">
                  <c:v>2606</c:v>
                </c:pt>
                <c:pt idx="13">
                  <c:v>1437</c:v>
                </c:pt>
                <c:pt idx="14">
                  <c:v>3216</c:v>
                </c:pt>
                <c:pt idx="15">
                  <c:v>1994</c:v>
                </c:pt>
                <c:pt idx="16">
                  <c:v>3870</c:v>
                </c:pt>
                <c:pt idx="17">
                  <c:v>3054</c:v>
                </c:pt>
                <c:pt idx="18">
                  <c:v>3052</c:v>
                </c:pt>
                <c:pt idx="19">
                  <c:v>2916</c:v>
                </c:pt>
                <c:pt idx="20">
                  <c:v>2673</c:v>
                </c:pt>
                <c:pt idx="21">
                  <c:v>6214</c:v>
                </c:pt>
                <c:pt idx="22">
                  <c:v>9573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1FD-4FEE-A0D1-E00667A2B3F5}"/>
            </c:ext>
          </c:extLst>
        </c:ser>
        <c:ser>
          <c:idx val="3"/>
          <c:order val="3"/>
          <c:tx>
            <c:strRef>
              <c:f>엘오티베큠!$B$88</c:f>
              <c:strCache>
                <c:ptCount val="1"/>
                <c:pt idx="0">
                  <c:v>(주)엘오티씨이에스(*2)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엘오티베큠!$C$88:$Y$88</c:f>
              <c:numCache>
                <c:formatCode>#,##0_ ;[Red]\-#,##0\ </c:formatCode>
                <c:ptCount val="23"/>
                <c:pt idx="0">
                  <c:v>1868</c:v>
                </c:pt>
                <c:pt idx="1">
                  <c:v>2680</c:v>
                </c:pt>
                <c:pt idx="2">
                  <c:v>1115</c:v>
                </c:pt>
                <c:pt idx="3">
                  <c:v>1260</c:v>
                </c:pt>
                <c:pt idx="4">
                  <c:v>1561</c:v>
                </c:pt>
                <c:pt idx="5">
                  <c:v>1872</c:v>
                </c:pt>
                <c:pt idx="6" formatCode="_(* #,##0_);_(* \(#,##0\);_(* &quot;-&quot;_);_(@_)">
                  <c:v>1667</c:v>
                </c:pt>
                <c:pt idx="7">
                  <c:v>1148</c:v>
                </c:pt>
                <c:pt idx="8">
                  <c:v>780</c:v>
                </c:pt>
                <c:pt idx="9">
                  <c:v>1469</c:v>
                </c:pt>
                <c:pt idx="10">
                  <c:v>2178</c:v>
                </c:pt>
                <c:pt idx="11">
                  <c:v>5392</c:v>
                </c:pt>
                <c:pt idx="12">
                  <c:v>2054</c:v>
                </c:pt>
                <c:pt idx="13">
                  <c:v>2531</c:v>
                </c:pt>
                <c:pt idx="14">
                  <c:v>1799</c:v>
                </c:pt>
                <c:pt idx="15">
                  <c:v>696</c:v>
                </c:pt>
                <c:pt idx="16">
                  <c:v>1679</c:v>
                </c:pt>
                <c:pt idx="17">
                  <c:v>2080</c:v>
                </c:pt>
                <c:pt idx="18">
                  <c:v>2708</c:v>
                </c:pt>
                <c:pt idx="19">
                  <c:v>1970</c:v>
                </c:pt>
                <c:pt idx="20">
                  <c:v>10571</c:v>
                </c:pt>
                <c:pt idx="21">
                  <c:v>20169</c:v>
                </c:pt>
                <c:pt idx="22">
                  <c:v>31665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1FD-4FEE-A0D1-E00667A2B3F5}"/>
            </c:ext>
          </c:extLst>
        </c:ser>
        <c:ser>
          <c:idx val="4"/>
          <c:order val="4"/>
          <c:tx>
            <c:strRef>
              <c:f>엘오티베큠!$B$89</c:f>
              <c:strCache>
                <c:ptCount val="1"/>
                <c:pt idx="0">
                  <c:v>(주)엘오티티에스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엘오티베큠!$C$89:$Y$89</c:f>
              <c:numCache>
                <c:formatCode>#,##0_ ;[Red]\-#,##0\ </c:formatCode>
                <c:ptCount val="23"/>
                <c:pt idx="18">
                  <c:v>1067</c:v>
                </c:pt>
                <c:pt idx="19">
                  <c:v>7462</c:v>
                </c:pt>
                <c:pt idx="20">
                  <c:v>9268</c:v>
                </c:pt>
                <c:pt idx="21">
                  <c:v>22348</c:v>
                </c:pt>
                <c:pt idx="22">
                  <c:v>34904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1FD-4FEE-A0D1-E00667A2B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5058048"/>
        <c:axId val="685057632"/>
      </c:barChart>
      <c:catAx>
        <c:axId val="685058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85057632"/>
        <c:crosses val="autoZero"/>
        <c:auto val="1"/>
        <c:lblAlgn val="ctr"/>
        <c:lblOffset val="100"/>
        <c:noMultiLvlLbl val="0"/>
      </c:catAx>
      <c:valAx>
        <c:axId val="685057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8505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종속 기업 분기 순손익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엘오티베큠!$B$98</c:f>
              <c:strCache>
                <c:ptCount val="1"/>
                <c:pt idx="0">
                  <c:v>(주)엘오티머트리얼즈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엘오티베큠!$C$96:$Y$96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엘오티베큠!$C$98:$Y$98</c:f>
              <c:numCache>
                <c:formatCode>#,##0_ ;[Red]\-#,##0\ </c:formatCode>
                <c:ptCount val="23"/>
                <c:pt idx="0">
                  <c:v>57</c:v>
                </c:pt>
                <c:pt idx="1">
                  <c:v>344</c:v>
                </c:pt>
                <c:pt idx="2">
                  <c:v>-1</c:v>
                </c:pt>
                <c:pt idx="3">
                  <c:v>174</c:v>
                </c:pt>
                <c:pt idx="4">
                  <c:v>110</c:v>
                </c:pt>
                <c:pt idx="5">
                  <c:v>191</c:v>
                </c:pt>
                <c:pt idx="6">
                  <c:v>-28</c:v>
                </c:pt>
                <c:pt idx="7">
                  <c:v>293</c:v>
                </c:pt>
                <c:pt idx="8">
                  <c:v>71</c:v>
                </c:pt>
                <c:pt idx="9">
                  <c:v>-222</c:v>
                </c:pt>
                <c:pt idx="10">
                  <c:v>65</c:v>
                </c:pt>
                <c:pt idx="11">
                  <c:v>32</c:v>
                </c:pt>
                <c:pt idx="12">
                  <c:v>329</c:v>
                </c:pt>
                <c:pt idx="13">
                  <c:v>202</c:v>
                </c:pt>
                <c:pt idx="14">
                  <c:v>-153</c:v>
                </c:pt>
                <c:pt idx="15">
                  <c:v>280</c:v>
                </c:pt>
                <c:pt idx="16">
                  <c:v>710</c:v>
                </c:pt>
                <c:pt idx="17">
                  <c:v>1203</c:v>
                </c:pt>
                <c:pt idx="18">
                  <c:v>1124</c:v>
                </c:pt>
                <c:pt idx="19">
                  <c:v>-121</c:v>
                </c:pt>
                <c:pt idx="20">
                  <c:v>618</c:v>
                </c:pt>
                <c:pt idx="21">
                  <c:v>1410</c:v>
                </c:pt>
                <c:pt idx="22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87-4850-9154-B4A5A5320712}"/>
            </c:ext>
          </c:extLst>
        </c:ser>
        <c:ser>
          <c:idx val="3"/>
          <c:order val="3"/>
          <c:tx>
            <c:strRef>
              <c:f>엘오티베큠!$B$100</c:f>
              <c:strCache>
                <c:ptCount val="1"/>
                <c:pt idx="0">
                  <c:v>(주)엘오티씨이에스(*2)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엘오티베큠!$C$96:$Y$96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엘오티베큠!$C$100:$Y$100</c:f>
              <c:numCache>
                <c:formatCode>#,##0_ ;[Red]\-#,##0\ </c:formatCode>
                <c:ptCount val="23"/>
                <c:pt idx="0">
                  <c:v>165</c:v>
                </c:pt>
                <c:pt idx="1">
                  <c:v>329</c:v>
                </c:pt>
                <c:pt idx="2">
                  <c:v>-398</c:v>
                </c:pt>
                <c:pt idx="3">
                  <c:v>52</c:v>
                </c:pt>
                <c:pt idx="4">
                  <c:v>-193</c:v>
                </c:pt>
                <c:pt idx="5">
                  <c:v>328</c:v>
                </c:pt>
                <c:pt idx="6">
                  <c:v>206</c:v>
                </c:pt>
                <c:pt idx="7">
                  <c:v>259</c:v>
                </c:pt>
                <c:pt idx="8">
                  <c:v>-299</c:v>
                </c:pt>
                <c:pt idx="9">
                  <c:v>-69</c:v>
                </c:pt>
                <c:pt idx="10">
                  <c:v>328</c:v>
                </c:pt>
                <c:pt idx="11">
                  <c:v>35</c:v>
                </c:pt>
                <c:pt idx="12">
                  <c:v>449</c:v>
                </c:pt>
                <c:pt idx="13">
                  <c:v>541</c:v>
                </c:pt>
                <c:pt idx="14">
                  <c:v>426</c:v>
                </c:pt>
                <c:pt idx="15">
                  <c:v>-128</c:v>
                </c:pt>
                <c:pt idx="16">
                  <c:v>277</c:v>
                </c:pt>
                <c:pt idx="17">
                  <c:v>529</c:v>
                </c:pt>
                <c:pt idx="18">
                  <c:v>624</c:v>
                </c:pt>
                <c:pt idx="19">
                  <c:v>-175</c:v>
                </c:pt>
                <c:pt idx="20">
                  <c:v>-96</c:v>
                </c:pt>
                <c:pt idx="21">
                  <c:v>676</c:v>
                </c:pt>
                <c:pt idx="22">
                  <c:v>1003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B87-4850-9154-B4A5A5320712}"/>
            </c:ext>
          </c:extLst>
        </c:ser>
        <c:ser>
          <c:idx val="5"/>
          <c:order val="5"/>
          <c:tx>
            <c:strRef>
              <c:f>엘오티베큠!$B$102</c:f>
              <c:strCache>
                <c:ptCount val="1"/>
                <c:pt idx="0">
                  <c:v>(주)엘오티티에스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엘오티베큠!$C$96:$Y$96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엘오티베큠!$C$102:$Y$102</c:f>
              <c:numCache>
                <c:formatCode>#,##0_ ;[Red]\-#,##0\ </c:formatCode>
                <c:ptCount val="23"/>
                <c:pt idx="18">
                  <c:v>-35</c:v>
                </c:pt>
                <c:pt idx="19">
                  <c:v>-2152</c:v>
                </c:pt>
                <c:pt idx="20">
                  <c:v>-573</c:v>
                </c:pt>
                <c:pt idx="21">
                  <c:v>1532</c:v>
                </c:pt>
                <c:pt idx="22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B87-4850-9154-B4A5A53207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889754800"/>
        <c:axId val="88975438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엘오티베큠!$B$97</c15:sqref>
                        </c15:formulaRef>
                      </c:ext>
                    </c:extLst>
                    <c:strCache>
                      <c:ptCount val="1"/>
                      <c:pt idx="0">
                        <c:v>LOT VACUUM AMERICA, INC.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엘오티베큠!$C$96:$Y$96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엘오티베큠!$C$97:$Y$97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214</c:v>
                      </c:pt>
                      <c:pt idx="1">
                        <c:v>-122</c:v>
                      </c:pt>
                      <c:pt idx="2">
                        <c:v>181</c:v>
                      </c:pt>
                      <c:pt idx="3">
                        <c:v>-2</c:v>
                      </c:pt>
                      <c:pt idx="4">
                        <c:v>174</c:v>
                      </c:pt>
                      <c:pt idx="5">
                        <c:v>46</c:v>
                      </c:pt>
                      <c:pt idx="6">
                        <c:v>124</c:v>
                      </c:pt>
                      <c:pt idx="7">
                        <c:v>-24</c:v>
                      </c:pt>
                      <c:pt idx="8">
                        <c:v>146</c:v>
                      </c:pt>
                      <c:pt idx="9">
                        <c:v>-21</c:v>
                      </c:pt>
                      <c:pt idx="10">
                        <c:v>-20</c:v>
                      </c:pt>
                      <c:pt idx="11">
                        <c:v>295</c:v>
                      </c:pt>
                      <c:pt idx="12">
                        <c:v>325</c:v>
                      </c:pt>
                      <c:pt idx="13">
                        <c:v>-24</c:v>
                      </c:pt>
                      <c:pt idx="14">
                        <c:v>28</c:v>
                      </c:pt>
                      <c:pt idx="15">
                        <c:v>-55</c:v>
                      </c:pt>
                      <c:pt idx="16">
                        <c:v>358</c:v>
                      </c:pt>
                      <c:pt idx="17">
                        <c:v>251</c:v>
                      </c:pt>
                      <c:pt idx="18">
                        <c:v>331</c:v>
                      </c:pt>
                      <c:pt idx="19">
                        <c:v>-83</c:v>
                      </c:pt>
                      <c:pt idx="20">
                        <c:v>34</c:v>
                      </c:pt>
                      <c:pt idx="21">
                        <c:v>-170</c:v>
                      </c:pt>
                      <c:pt idx="22">
                        <c:v>39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B87-4850-9154-B4A5A532071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엘오티베큠!$B$99</c15:sqref>
                        </c15:formulaRef>
                      </c:ext>
                    </c:extLst>
                    <c:strCache>
                      <c:ptCount val="1"/>
                      <c:pt idx="0">
                        <c:v>엘오티진공기술서안유한공사(*1)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엘오티베큠!$C$96:$Y$96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엘오티베큠!$C$99:$Y$99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243</c:v>
                      </c:pt>
                      <c:pt idx="1">
                        <c:v>692</c:v>
                      </c:pt>
                      <c:pt idx="2">
                        <c:v>969</c:v>
                      </c:pt>
                      <c:pt idx="3">
                        <c:v>1406</c:v>
                      </c:pt>
                      <c:pt idx="4">
                        <c:v>1642</c:v>
                      </c:pt>
                      <c:pt idx="5">
                        <c:v>725</c:v>
                      </c:pt>
                      <c:pt idx="6">
                        <c:v>886</c:v>
                      </c:pt>
                      <c:pt idx="7">
                        <c:v>751</c:v>
                      </c:pt>
                      <c:pt idx="8">
                        <c:v>175</c:v>
                      </c:pt>
                      <c:pt idx="9">
                        <c:v>-176</c:v>
                      </c:pt>
                      <c:pt idx="10">
                        <c:v>-1025</c:v>
                      </c:pt>
                      <c:pt idx="11">
                        <c:v>-1367</c:v>
                      </c:pt>
                      <c:pt idx="12">
                        <c:v>-353</c:v>
                      </c:pt>
                      <c:pt idx="13">
                        <c:v>-782</c:v>
                      </c:pt>
                      <c:pt idx="14">
                        <c:v>-139</c:v>
                      </c:pt>
                      <c:pt idx="15">
                        <c:v>347</c:v>
                      </c:pt>
                      <c:pt idx="16">
                        <c:v>360</c:v>
                      </c:pt>
                      <c:pt idx="17">
                        <c:v>-6</c:v>
                      </c:pt>
                      <c:pt idx="18">
                        <c:v>-2261</c:v>
                      </c:pt>
                      <c:pt idx="19">
                        <c:v>2672</c:v>
                      </c:pt>
                      <c:pt idx="20">
                        <c:v>125</c:v>
                      </c:pt>
                      <c:pt idx="21">
                        <c:v>-238</c:v>
                      </c:pt>
                      <c:pt idx="22">
                        <c:v>1597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B87-4850-9154-B4A5A532071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엘오티베큠!$B$101</c15:sqref>
                        </c15:formulaRef>
                      </c:ext>
                    </c:extLst>
                    <c:strCache>
                      <c:ptCount val="1"/>
                      <c:pt idx="0">
                        <c:v>(주)에이치인베스트먼트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엘오티베큠!$C$96:$Y$96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엘오티베큠!$C$101:$Y$101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16">
                        <c:v>36</c:v>
                      </c:pt>
                      <c:pt idx="17">
                        <c:v>-60</c:v>
                      </c:pt>
                      <c:pt idx="18">
                        <c:v>-118</c:v>
                      </c:pt>
                      <c:pt idx="19">
                        <c:v>15</c:v>
                      </c:pt>
                      <c:pt idx="20">
                        <c:v>-85</c:v>
                      </c:pt>
                      <c:pt idx="21">
                        <c:v>-473</c:v>
                      </c:pt>
                      <c:pt idx="22">
                        <c:v>-71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B87-4850-9154-B4A5A5320712}"/>
                  </c:ext>
                </c:extLst>
              </c15:ser>
            </c15:filteredBarSeries>
          </c:ext>
        </c:extLst>
      </c:barChart>
      <c:catAx>
        <c:axId val="889754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89754384"/>
        <c:crosses val="autoZero"/>
        <c:auto val="1"/>
        <c:lblAlgn val="ctr"/>
        <c:lblOffset val="100"/>
        <c:noMultiLvlLbl val="0"/>
      </c:catAx>
      <c:valAx>
        <c:axId val="88975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89754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제품별 매출액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엘오티베큠!$B$26</c:f>
              <c:strCache>
                <c:ptCount val="1"/>
                <c:pt idx="0">
                  <c:v> 건식 진공 펌프 제품 매출액 - 수출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엘오티베큠!$C$26:$Y$26</c:f>
              <c:numCache>
                <c:formatCode>_(* #,##0_);_(* \(#,##0\);_(* "-"_);_(@_)</c:formatCode>
                <c:ptCount val="23"/>
                <c:pt idx="0">
                  <c:v>5002</c:v>
                </c:pt>
                <c:pt idx="1">
                  <c:v>12144</c:v>
                </c:pt>
                <c:pt idx="2">
                  <c:v>2803</c:v>
                </c:pt>
                <c:pt idx="3">
                  <c:v>563</c:v>
                </c:pt>
                <c:pt idx="4">
                  <c:v>2071</c:v>
                </c:pt>
                <c:pt idx="5">
                  <c:v>6103</c:v>
                </c:pt>
                <c:pt idx="6">
                  <c:v>1632</c:v>
                </c:pt>
                <c:pt idx="7">
                  <c:v>4515</c:v>
                </c:pt>
                <c:pt idx="8">
                  <c:v>8765</c:v>
                </c:pt>
                <c:pt idx="9">
                  <c:v>5868</c:v>
                </c:pt>
                <c:pt idx="10">
                  <c:v>13514</c:v>
                </c:pt>
                <c:pt idx="11">
                  <c:v>18734</c:v>
                </c:pt>
                <c:pt idx="12">
                  <c:v>13253</c:v>
                </c:pt>
                <c:pt idx="13">
                  <c:v>4335</c:v>
                </c:pt>
                <c:pt idx="14">
                  <c:v>5167</c:v>
                </c:pt>
                <c:pt idx="15">
                  <c:v>8546</c:v>
                </c:pt>
                <c:pt idx="16">
                  <c:v>24680</c:v>
                </c:pt>
                <c:pt idx="17">
                  <c:v>30448</c:v>
                </c:pt>
                <c:pt idx="18">
                  <c:v>7881</c:v>
                </c:pt>
                <c:pt idx="19">
                  <c:v>11189</c:v>
                </c:pt>
                <c:pt idx="20">
                  <c:v>22739</c:v>
                </c:pt>
                <c:pt idx="21">
                  <c:v>25386</c:v>
                </c:pt>
                <c:pt idx="22">
                  <c:v>44812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29-491B-A393-FF258FBA836A}"/>
            </c:ext>
          </c:extLst>
        </c:ser>
        <c:ser>
          <c:idx val="1"/>
          <c:order val="1"/>
          <c:tx>
            <c:strRef>
              <c:f>엘오티베큠!$B$27</c:f>
              <c:strCache>
                <c:ptCount val="1"/>
                <c:pt idx="0">
                  <c:v> 건식 진공 펌프 제품 매출액 - 내수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엘오티베큠!$C$27:$Y$27</c:f>
              <c:numCache>
                <c:formatCode>_(* #,##0_);_(* \(#,##0\);_(* "-"_);_(@_)</c:formatCode>
                <c:ptCount val="23"/>
                <c:pt idx="0">
                  <c:v>24554</c:v>
                </c:pt>
                <c:pt idx="1">
                  <c:v>39910</c:v>
                </c:pt>
                <c:pt idx="2">
                  <c:v>29399</c:v>
                </c:pt>
                <c:pt idx="3">
                  <c:v>28086</c:v>
                </c:pt>
                <c:pt idx="4">
                  <c:v>33515</c:v>
                </c:pt>
                <c:pt idx="5">
                  <c:v>30876</c:v>
                </c:pt>
                <c:pt idx="6">
                  <c:v>13236</c:v>
                </c:pt>
                <c:pt idx="7">
                  <c:v>13790</c:v>
                </c:pt>
                <c:pt idx="8">
                  <c:v>11355</c:v>
                </c:pt>
                <c:pt idx="9">
                  <c:v>12446</c:v>
                </c:pt>
                <c:pt idx="10">
                  <c:v>6860</c:v>
                </c:pt>
                <c:pt idx="11">
                  <c:v>14272</c:v>
                </c:pt>
                <c:pt idx="12">
                  <c:v>23647</c:v>
                </c:pt>
                <c:pt idx="13">
                  <c:v>20157</c:v>
                </c:pt>
                <c:pt idx="14">
                  <c:v>18396</c:v>
                </c:pt>
                <c:pt idx="15">
                  <c:v>11406</c:v>
                </c:pt>
                <c:pt idx="16">
                  <c:v>28476</c:v>
                </c:pt>
                <c:pt idx="17">
                  <c:v>30598</c:v>
                </c:pt>
                <c:pt idx="18">
                  <c:v>25927</c:v>
                </c:pt>
                <c:pt idx="19">
                  <c:v>27681</c:v>
                </c:pt>
                <c:pt idx="20">
                  <c:v>34487</c:v>
                </c:pt>
                <c:pt idx="21">
                  <c:v>34673</c:v>
                </c:pt>
                <c:pt idx="22">
                  <c:v>35538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29-491B-A393-FF258FBA836A}"/>
            </c:ext>
          </c:extLst>
        </c:ser>
        <c:ser>
          <c:idx val="2"/>
          <c:order val="2"/>
          <c:tx>
            <c:strRef>
              <c:f>엘오티베큠!$B$28</c:f>
              <c:strCache>
                <c:ptCount val="1"/>
                <c:pt idx="0">
                  <c:v> 플라즈마 전처리 시스템 (상품) 매출액 - 수출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엘오티베큠!$C$28:$Y$28</c:f>
              <c:numCache>
                <c:formatCode>_(* #,##0_);_(* \(#,##0\);_(* "-"_);_(@_)</c:formatCode>
                <c:ptCount val="23"/>
                <c:pt idx="0">
                  <c:v>424</c:v>
                </c:pt>
                <c:pt idx="1">
                  <c:v>994</c:v>
                </c:pt>
                <c:pt idx="2">
                  <c:v>506</c:v>
                </c:pt>
                <c:pt idx="3">
                  <c:v>798</c:v>
                </c:pt>
                <c:pt idx="4">
                  <c:v>1266</c:v>
                </c:pt>
                <c:pt idx="5">
                  <c:v>16</c:v>
                </c:pt>
                <c:pt idx="6">
                  <c:v>598</c:v>
                </c:pt>
                <c:pt idx="7">
                  <c:v>-576</c:v>
                </c:pt>
                <c:pt idx="8">
                  <c:v>124</c:v>
                </c:pt>
                <c:pt idx="9">
                  <c:v>3</c:v>
                </c:pt>
                <c:pt idx="10">
                  <c:v>0</c:v>
                </c:pt>
                <c:pt idx="11">
                  <c:v>52</c:v>
                </c:pt>
                <c:pt idx="12">
                  <c:v>584</c:v>
                </c:pt>
                <c:pt idx="13">
                  <c:v>-578</c:v>
                </c:pt>
                <c:pt idx="14">
                  <c:v>305</c:v>
                </c:pt>
                <c:pt idx="15">
                  <c:v>-304</c:v>
                </c:pt>
                <c:pt idx="16">
                  <c:v>47</c:v>
                </c:pt>
                <c:pt idx="17">
                  <c:v>895</c:v>
                </c:pt>
                <c:pt idx="18">
                  <c:v>-19</c:v>
                </c:pt>
                <c:pt idx="19">
                  <c:v>106</c:v>
                </c:pt>
                <c:pt idx="20">
                  <c:v>7</c:v>
                </c:pt>
                <c:pt idx="21">
                  <c:v>154</c:v>
                </c:pt>
                <c:pt idx="22">
                  <c:v>-34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29-491B-A393-FF258FBA836A}"/>
            </c:ext>
          </c:extLst>
        </c:ser>
        <c:ser>
          <c:idx val="3"/>
          <c:order val="3"/>
          <c:tx>
            <c:strRef>
              <c:f>엘오티베큠!$B$29</c:f>
              <c:strCache>
                <c:ptCount val="1"/>
                <c:pt idx="0">
                  <c:v> 플라즈마 전처리 시스템 (상품) 매출액 - 내수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엘오티베큠!$C$29:$Y$29</c:f>
              <c:numCache>
                <c:formatCode>_(* #,##0_);_(* \(#,##0\);_(* "-"_);_(@_)</c:formatCode>
                <c:ptCount val="23"/>
                <c:pt idx="0">
                  <c:v>1772</c:v>
                </c:pt>
                <c:pt idx="1">
                  <c:v>2449</c:v>
                </c:pt>
                <c:pt idx="2">
                  <c:v>2146</c:v>
                </c:pt>
                <c:pt idx="3">
                  <c:v>2434</c:v>
                </c:pt>
                <c:pt idx="4">
                  <c:v>1208</c:v>
                </c:pt>
                <c:pt idx="5">
                  <c:v>1792</c:v>
                </c:pt>
                <c:pt idx="6">
                  <c:v>1317</c:v>
                </c:pt>
                <c:pt idx="7">
                  <c:v>999</c:v>
                </c:pt>
                <c:pt idx="8">
                  <c:v>883</c:v>
                </c:pt>
                <c:pt idx="9">
                  <c:v>1332</c:v>
                </c:pt>
                <c:pt idx="10">
                  <c:v>2129</c:v>
                </c:pt>
                <c:pt idx="11">
                  <c:v>2099</c:v>
                </c:pt>
                <c:pt idx="12">
                  <c:v>2169</c:v>
                </c:pt>
                <c:pt idx="13">
                  <c:v>2563</c:v>
                </c:pt>
                <c:pt idx="14">
                  <c:v>233</c:v>
                </c:pt>
                <c:pt idx="15">
                  <c:v>56</c:v>
                </c:pt>
                <c:pt idx="16">
                  <c:v>976</c:v>
                </c:pt>
                <c:pt idx="17">
                  <c:v>-184</c:v>
                </c:pt>
                <c:pt idx="18">
                  <c:v>2789</c:v>
                </c:pt>
                <c:pt idx="19">
                  <c:v>876</c:v>
                </c:pt>
                <c:pt idx="20">
                  <c:v>1354</c:v>
                </c:pt>
                <c:pt idx="21">
                  <c:v>515</c:v>
                </c:pt>
                <c:pt idx="22">
                  <c:v>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E29-491B-A393-FF258FBA836A}"/>
            </c:ext>
          </c:extLst>
        </c:ser>
        <c:ser>
          <c:idx val="4"/>
          <c:order val="4"/>
          <c:tx>
            <c:strRef>
              <c:f>엘오티베큠!$B$30</c:f>
              <c:strCache>
                <c:ptCount val="1"/>
                <c:pt idx="0">
                  <c:v> 수선 보수 - 수출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엘오티베큠!$C$30:$Y$30</c:f>
              <c:numCache>
                <c:formatCode>_(* #,##0_);_(* \(#,##0\);_(* "-"_);_(@_)</c:formatCode>
                <c:ptCount val="23"/>
                <c:pt idx="0">
                  <c:v>2297</c:v>
                </c:pt>
                <c:pt idx="1">
                  <c:v>2909</c:v>
                </c:pt>
                <c:pt idx="2">
                  <c:v>3434</c:v>
                </c:pt>
                <c:pt idx="3">
                  <c:v>3730</c:v>
                </c:pt>
                <c:pt idx="4">
                  <c:v>4293</c:v>
                </c:pt>
                <c:pt idx="5">
                  <c:v>4089</c:v>
                </c:pt>
                <c:pt idx="6">
                  <c:v>4207</c:v>
                </c:pt>
                <c:pt idx="7">
                  <c:v>4018</c:v>
                </c:pt>
                <c:pt idx="8">
                  <c:v>4119</c:v>
                </c:pt>
                <c:pt idx="9">
                  <c:v>2563</c:v>
                </c:pt>
                <c:pt idx="10">
                  <c:v>2348</c:v>
                </c:pt>
                <c:pt idx="11">
                  <c:v>2155</c:v>
                </c:pt>
                <c:pt idx="12">
                  <c:v>2878</c:v>
                </c:pt>
                <c:pt idx="13">
                  <c:v>2966</c:v>
                </c:pt>
                <c:pt idx="14">
                  <c:v>3371</c:v>
                </c:pt>
                <c:pt idx="15">
                  <c:v>3704</c:v>
                </c:pt>
                <c:pt idx="16">
                  <c:v>5549</c:v>
                </c:pt>
                <c:pt idx="17">
                  <c:v>3383</c:v>
                </c:pt>
                <c:pt idx="18">
                  <c:v>3260</c:v>
                </c:pt>
                <c:pt idx="19">
                  <c:v>5384</c:v>
                </c:pt>
                <c:pt idx="20">
                  <c:v>3566</c:v>
                </c:pt>
                <c:pt idx="21">
                  <c:v>4460</c:v>
                </c:pt>
                <c:pt idx="22">
                  <c:v>5602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E29-491B-A393-FF258FBA836A}"/>
            </c:ext>
          </c:extLst>
        </c:ser>
        <c:ser>
          <c:idx val="5"/>
          <c:order val="5"/>
          <c:tx>
            <c:strRef>
              <c:f>엘오티베큠!$B$31</c:f>
              <c:strCache>
                <c:ptCount val="1"/>
                <c:pt idx="0">
                  <c:v> 수선 보수 - 내수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엘오티베큠!$C$31:$Y$31</c:f>
              <c:numCache>
                <c:formatCode>_(* #,##0_);_(* \(#,##0\);_(* "-"_);_(@_)</c:formatCode>
                <c:ptCount val="23"/>
                <c:pt idx="0">
                  <c:v>7579</c:v>
                </c:pt>
                <c:pt idx="1">
                  <c:v>8883</c:v>
                </c:pt>
                <c:pt idx="2">
                  <c:v>9553</c:v>
                </c:pt>
                <c:pt idx="3">
                  <c:v>8376</c:v>
                </c:pt>
                <c:pt idx="4">
                  <c:v>9398</c:v>
                </c:pt>
                <c:pt idx="5">
                  <c:v>10092</c:v>
                </c:pt>
                <c:pt idx="6">
                  <c:v>8639</c:v>
                </c:pt>
                <c:pt idx="7">
                  <c:v>12220</c:v>
                </c:pt>
                <c:pt idx="8">
                  <c:v>10908</c:v>
                </c:pt>
                <c:pt idx="9">
                  <c:v>9332</c:v>
                </c:pt>
                <c:pt idx="10">
                  <c:v>10563</c:v>
                </c:pt>
                <c:pt idx="11">
                  <c:v>9822</c:v>
                </c:pt>
                <c:pt idx="12">
                  <c:v>12321</c:v>
                </c:pt>
                <c:pt idx="13">
                  <c:v>12243</c:v>
                </c:pt>
                <c:pt idx="14">
                  <c:v>11532</c:v>
                </c:pt>
                <c:pt idx="15">
                  <c:v>12289</c:v>
                </c:pt>
                <c:pt idx="16">
                  <c:v>12977</c:v>
                </c:pt>
                <c:pt idx="17">
                  <c:v>12743</c:v>
                </c:pt>
                <c:pt idx="18">
                  <c:v>11477</c:v>
                </c:pt>
                <c:pt idx="19">
                  <c:v>12457</c:v>
                </c:pt>
                <c:pt idx="20">
                  <c:v>12896</c:v>
                </c:pt>
                <c:pt idx="21">
                  <c:v>19014</c:v>
                </c:pt>
                <c:pt idx="22">
                  <c:v>16932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E29-491B-A393-FF258FBA83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8638320"/>
        <c:axId val="1008638736"/>
      </c:lineChart>
      <c:catAx>
        <c:axId val="1008638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8638736"/>
        <c:crosses val="autoZero"/>
        <c:auto val="1"/>
        <c:lblAlgn val="ctr"/>
        <c:lblOffset val="100"/>
        <c:noMultiLvlLbl val="0"/>
      </c:catAx>
      <c:valAx>
        <c:axId val="100863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8638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엘오티베큠!$B$51</c:f>
              <c:strCache>
                <c:ptCount val="1"/>
                <c:pt idx="0">
                  <c:v> 계약부채 (선수금)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엘오티베큠!$C$41:$Y$41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엘오티베큠!$C$51:$Y$51</c:f>
              <c:numCache>
                <c:formatCode>_(* #,##0_);_(* \(#,##0\);_(* "-"_);_(@_)</c:formatCode>
                <c:ptCount val="23"/>
                <c:pt idx="15">
                  <c:v>3128</c:v>
                </c:pt>
                <c:pt idx="16">
                  <c:v>3360</c:v>
                </c:pt>
                <c:pt idx="17">
                  <c:v>1901</c:v>
                </c:pt>
                <c:pt idx="18">
                  <c:v>1076</c:v>
                </c:pt>
                <c:pt idx="19">
                  <c:v>4387</c:v>
                </c:pt>
                <c:pt idx="20">
                  <c:v>7039</c:v>
                </c:pt>
                <c:pt idx="21">
                  <c:v>10741</c:v>
                </c:pt>
                <c:pt idx="22">
                  <c:v>8617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CA-4B6A-86FF-7B8A31847057}"/>
            </c:ext>
          </c:extLst>
        </c:ser>
        <c:ser>
          <c:idx val="1"/>
          <c:order val="1"/>
          <c:tx>
            <c:strRef>
              <c:f>엘오티베큠!$B$50</c:f>
              <c:strCache>
                <c:ptCount val="1"/>
                <c:pt idx="0">
                  <c:v> 외주가공비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엘오티베큠!$C$50:$Y$50</c:f>
              <c:numCache>
                <c:formatCode>_(* #,##0_);_(* \(#,##0\);_(* "-"_);_(@_)</c:formatCode>
                <c:ptCount val="23"/>
                <c:pt idx="8">
                  <c:v>1958</c:v>
                </c:pt>
                <c:pt idx="9">
                  <c:v>1375</c:v>
                </c:pt>
                <c:pt idx="10">
                  <c:v>1628</c:v>
                </c:pt>
                <c:pt idx="11">
                  <c:v>1341</c:v>
                </c:pt>
                <c:pt idx="12">
                  <c:v>2990</c:v>
                </c:pt>
                <c:pt idx="13">
                  <c:v>5766</c:v>
                </c:pt>
                <c:pt idx="14">
                  <c:v>5237</c:v>
                </c:pt>
                <c:pt idx="15">
                  <c:v>9373</c:v>
                </c:pt>
                <c:pt idx="16">
                  <c:v>7518</c:v>
                </c:pt>
                <c:pt idx="17">
                  <c:v>7932</c:v>
                </c:pt>
                <c:pt idx="18">
                  <c:v>7351</c:v>
                </c:pt>
                <c:pt idx="19">
                  <c:v>4297</c:v>
                </c:pt>
                <c:pt idx="20">
                  <c:v>10139</c:v>
                </c:pt>
                <c:pt idx="21">
                  <c:v>11265</c:v>
                </c:pt>
                <c:pt idx="22">
                  <c:v>15441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CA-4B6A-86FF-7B8A31847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9900736"/>
        <c:axId val="679898656"/>
      </c:lineChart>
      <c:catAx>
        <c:axId val="679900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79898656"/>
        <c:crosses val="autoZero"/>
        <c:auto val="1"/>
        <c:lblAlgn val="ctr"/>
        <c:lblOffset val="100"/>
        <c:noMultiLvlLbl val="0"/>
      </c:catAx>
      <c:valAx>
        <c:axId val="67989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7990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비용의 성격 별 분류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엘오티베큠!$B$106</c:f>
              <c:strCache>
                <c:ptCount val="1"/>
                <c:pt idx="0">
                  <c:v>원재료 및 상품 등의 사용액</c:v>
                </c:pt>
              </c:strCache>
              <c:extLst xmlns:c15="http://schemas.microsoft.com/office/drawing/2012/chart"/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엘오티베큠!$C$106:$Y$106</c:f>
              <c:numCache>
                <c:formatCode>#,##0_ ;[Red]\-#,##0\ </c:formatCode>
                <c:ptCount val="23"/>
                <c:pt idx="16">
                  <c:v>29381</c:v>
                </c:pt>
                <c:pt idx="17">
                  <c:v>36358</c:v>
                </c:pt>
                <c:pt idx="18">
                  <c:v>3707</c:v>
                </c:pt>
                <c:pt idx="19">
                  <c:v>33425</c:v>
                </c:pt>
                <c:pt idx="20">
                  <c:v>27892</c:v>
                </c:pt>
                <c:pt idx="21">
                  <c:v>31041</c:v>
                </c:pt>
                <c:pt idx="22">
                  <c:v>49501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0-C9A4-48B6-889B-FA8D48B62481}"/>
            </c:ext>
          </c:extLst>
        </c:ser>
        <c:ser>
          <c:idx val="1"/>
          <c:order val="1"/>
          <c:tx>
            <c:strRef>
              <c:f>엘오티베큠!$B$107</c:f>
              <c:strCache>
                <c:ptCount val="1"/>
                <c:pt idx="0">
                  <c:v>제품 및 재공품 등의 변동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엘오티베큠!$C$107:$Y$107</c:f>
              <c:numCache>
                <c:formatCode>#,##0_ ;[Red]\-#,##0\ </c:formatCode>
                <c:ptCount val="23"/>
                <c:pt idx="0">
                  <c:v>25782</c:v>
                </c:pt>
                <c:pt idx="1">
                  <c:v>31934</c:v>
                </c:pt>
                <c:pt idx="2">
                  <c:v>36048</c:v>
                </c:pt>
                <c:pt idx="3">
                  <c:v>24975</c:v>
                </c:pt>
                <c:pt idx="4">
                  <c:v>24386</c:v>
                </c:pt>
                <c:pt idx="5">
                  <c:v>26836</c:v>
                </c:pt>
                <c:pt idx="6">
                  <c:v>11530</c:v>
                </c:pt>
                <c:pt idx="7">
                  <c:v>15247</c:v>
                </c:pt>
                <c:pt idx="8">
                  <c:v>15447</c:v>
                </c:pt>
                <c:pt idx="9">
                  <c:v>13836</c:v>
                </c:pt>
                <c:pt idx="10">
                  <c:v>14700</c:v>
                </c:pt>
                <c:pt idx="11">
                  <c:v>36149</c:v>
                </c:pt>
                <c:pt idx="12">
                  <c:v>25815</c:v>
                </c:pt>
                <c:pt idx="13">
                  <c:v>15560</c:v>
                </c:pt>
                <c:pt idx="14">
                  <c:v>20766</c:v>
                </c:pt>
                <c:pt idx="15">
                  <c:v>3778</c:v>
                </c:pt>
                <c:pt idx="16">
                  <c:v>-565</c:v>
                </c:pt>
                <c:pt idx="17">
                  <c:v>-4091</c:v>
                </c:pt>
                <c:pt idx="18">
                  <c:v>10624</c:v>
                </c:pt>
                <c:pt idx="19">
                  <c:v>-15438</c:v>
                </c:pt>
                <c:pt idx="20">
                  <c:v>-307</c:v>
                </c:pt>
                <c:pt idx="21">
                  <c:v>-2481</c:v>
                </c:pt>
                <c:pt idx="22">
                  <c:v>-4259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1-C9A4-48B6-889B-FA8D48B62481}"/>
            </c:ext>
          </c:extLst>
        </c:ser>
        <c:ser>
          <c:idx val="2"/>
          <c:order val="2"/>
          <c:tx>
            <c:strRef>
              <c:f>엘오티베큠!$B$108</c:f>
              <c:strCache>
                <c:ptCount val="1"/>
                <c:pt idx="0">
                  <c:v>종업원급여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엘오티베큠!$C$108:$Y$108</c:f>
              <c:numCache>
                <c:formatCode>#,##0_ ;[Red]\-#,##0\ </c:formatCode>
                <c:ptCount val="23"/>
                <c:pt idx="0">
                  <c:v>5623</c:v>
                </c:pt>
                <c:pt idx="1">
                  <c:v>4418</c:v>
                </c:pt>
                <c:pt idx="2">
                  <c:v>8031</c:v>
                </c:pt>
                <c:pt idx="3">
                  <c:v>6768</c:v>
                </c:pt>
                <c:pt idx="4">
                  <c:v>7963</c:v>
                </c:pt>
                <c:pt idx="5">
                  <c:v>6098</c:v>
                </c:pt>
                <c:pt idx="6">
                  <c:v>7296</c:v>
                </c:pt>
                <c:pt idx="7">
                  <c:v>7603</c:v>
                </c:pt>
                <c:pt idx="8">
                  <c:v>8255</c:v>
                </c:pt>
                <c:pt idx="9">
                  <c:v>6063</c:v>
                </c:pt>
                <c:pt idx="10">
                  <c:v>7259</c:v>
                </c:pt>
                <c:pt idx="11">
                  <c:v>5532</c:v>
                </c:pt>
                <c:pt idx="12">
                  <c:v>7500</c:v>
                </c:pt>
                <c:pt idx="13">
                  <c:v>6684</c:v>
                </c:pt>
                <c:pt idx="14">
                  <c:v>6434</c:v>
                </c:pt>
                <c:pt idx="15">
                  <c:v>10271</c:v>
                </c:pt>
                <c:pt idx="16">
                  <c:v>9713</c:v>
                </c:pt>
                <c:pt idx="17">
                  <c:v>8666</c:v>
                </c:pt>
                <c:pt idx="18">
                  <c:v>8316</c:v>
                </c:pt>
                <c:pt idx="19">
                  <c:v>12808</c:v>
                </c:pt>
                <c:pt idx="20">
                  <c:v>12074</c:v>
                </c:pt>
                <c:pt idx="21">
                  <c:v>11471</c:v>
                </c:pt>
                <c:pt idx="22">
                  <c:v>13267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A4-48B6-889B-FA8D48B62481}"/>
            </c:ext>
          </c:extLst>
        </c:ser>
        <c:ser>
          <c:idx val="3"/>
          <c:order val="3"/>
          <c:tx>
            <c:strRef>
              <c:f>엘오티베큠!$B$109</c:f>
              <c:strCache>
                <c:ptCount val="1"/>
                <c:pt idx="0">
                  <c:v>감가상각비</c:v>
                </c:pt>
              </c:strCache>
              <c:extLst xmlns:c15="http://schemas.microsoft.com/office/drawing/2012/chart"/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엘오티베큠!$C$109:$Y$109</c:f>
              <c:numCache>
                <c:formatCode>#,##0_ ;[Red]\-#,##0\ </c:formatCode>
                <c:ptCount val="23"/>
                <c:pt idx="0">
                  <c:v>723</c:v>
                </c:pt>
                <c:pt idx="1">
                  <c:v>1237</c:v>
                </c:pt>
                <c:pt idx="2">
                  <c:v>844</c:v>
                </c:pt>
                <c:pt idx="3">
                  <c:v>699</c:v>
                </c:pt>
                <c:pt idx="4">
                  <c:v>879</c:v>
                </c:pt>
                <c:pt idx="5">
                  <c:v>762</c:v>
                </c:pt>
                <c:pt idx="6">
                  <c:v>721</c:v>
                </c:pt>
                <c:pt idx="7">
                  <c:v>638</c:v>
                </c:pt>
                <c:pt idx="8">
                  <c:v>989</c:v>
                </c:pt>
                <c:pt idx="9">
                  <c:v>1240</c:v>
                </c:pt>
                <c:pt idx="10">
                  <c:v>765</c:v>
                </c:pt>
                <c:pt idx="11">
                  <c:v>2720</c:v>
                </c:pt>
                <c:pt idx="12">
                  <c:v>1839</c:v>
                </c:pt>
                <c:pt idx="13">
                  <c:v>1651</c:v>
                </c:pt>
                <c:pt idx="14">
                  <c:v>1310</c:v>
                </c:pt>
                <c:pt idx="15">
                  <c:v>1630</c:v>
                </c:pt>
                <c:pt idx="16">
                  <c:v>1523</c:v>
                </c:pt>
                <c:pt idx="17">
                  <c:v>1522</c:v>
                </c:pt>
                <c:pt idx="18">
                  <c:v>1562</c:v>
                </c:pt>
                <c:pt idx="19">
                  <c:v>1840</c:v>
                </c:pt>
                <c:pt idx="20">
                  <c:v>2049</c:v>
                </c:pt>
                <c:pt idx="21">
                  <c:v>1643</c:v>
                </c:pt>
                <c:pt idx="22">
                  <c:v>1774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3-C9A4-48B6-889B-FA8D48B62481}"/>
            </c:ext>
          </c:extLst>
        </c:ser>
        <c:ser>
          <c:idx val="4"/>
          <c:order val="4"/>
          <c:tx>
            <c:strRef>
              <c:f>엘오티베큠!$B$110</c:f>
              <c:strCache>
                <c:ptCount val="1"/>
                <c:pt idx="0">
                  <c:v>무형자산상각비</c:v>
                </c:pt>
              </c:strCache>
              <c:extLst xmlns:c15="http://schemas.microsoft.com/office/drawing/2012/chart"/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엘오티베큠!$C$110:$Y$110</c:f>
              <c:numCache>
                <c:formatCode>#,##0_ ;[Red]\-#,##0\ </c:formatCode>
                <c:ptCount val="23"/>
                <c:pt idx="0">
                  <c:v>101</c:v>
                </c:pt>
                <c:pt idx="1">
                  <c:v>790</c:v>
                </c:pt>
                <c:pt idx="2">
                  <c:v>452</c:v>
                </c:pt>
                <c:pt idx="3">
                  <c:v>458</c:v>
                </c:pt>
                <c:pt idx="4">
                  <c:v>461</c:v>
                </c:pt>
                <c:pt idx="5">
                  <c:v>83</c:v>
                </c:pt>
                <c:pt idx="6">
                  <c:v>978</c:v>
                </c:pt>
                <c:pt idx="7">
                  <c:v>557</c:v>
                </c:pt>
                <c:pt idx="8">
                  <c:v>559</c:v>
                </c:pt>
                <c:pt idx="9">
                  <c:v>568</c:v>
                </c:pt>
                <c:pt idx="10">
                  <c:v>554</c:v>
                </c:pt>
                <c:pt idx="11">
                  <c:v>557</c:v>
                </c:pt>
                <c:pt idx="12">
                  <c:v>558</c:v>
                </c:pt>
                <c:pt idx="13">
                  <c:v>580</c:v>
                </c:pt>
                <c:pt idx="14">
                  <c:v>616</c:v>
                </c:pt>
                <c:pt idx="15">
                  <c:v>605</c:v>
                </c:pt>
                <c:pt idx="16">
                  <c:v>481</c:v>
                </c:pt>
                <c:pt idx="17">
                  <c:v>384</c:v>
                </c:pt>
                <c:pt idx="18">
                  <c:v>228</c:v>
                </c:pt>
                <c:pt idx="19">
                  <c:v>200</c:v>
                </c:pt>
                <c:pt idx="20">
                  <c:v>225</c:v>
                </c:pt>
                <c:pt idx="21">
                  <c:v>254</c:v>
                </c:pt>
                <c:pt idx="22">
                  <c:v>259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4-C9A4-48B6-889B-FA8D48B62481}"/>
            </c:ext>
          </c:extLst>
        </c:ser>
        <c:ser>
          <c:idx val="5"/>
          <c:order val="5"/>
          <c:tx>
            <c:strRef>
              <c:f>엘오티베큠!$B$111</c:f>
              <c:strCache>
                <c:ptCount val="1"/>
                <c:pt idx="0">
                  <c:v>외주가공비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엘오티베큠!$C$111:$Y$111</c:f>
              <c:numCache>
                <c:formatCode>#,##0_ ;[Red]\-#,##0\ </c:formatCode>
                <c:ptCount val="23"/>
                <c:pt idx="0">
                  <c:v>5975</c:v>
                </c:pt>
                <c:pt idx="1">
                  <c:v>6965</c:v>
                </c:pt>
                <c:pt idx="2">
                  <c:v>1568</c:v>
                </c:pt>
                <c:pt idx="3">
                  <c:v>-787</c:v>
                </c:pt>
                <c:pt idx="4">
                  <c:v>2014</c:v>
                </c:pt>
                <c:pt idx="5">
                  <c:v>1975</c:v>
                </c:pt>
                <c:pt idx="6">
                  <c:v>1332</c:v>
                </c:pt>
                <c:pt idx="7">
                  <c:v>1626</c:v>
                </c:pt>
                <c:pt idx="8">
                  <c:v>1958</c:v>
                </c:pt>
                <c:pt idx="9">
                  <c:v>1375</c:v>
                </c:pt>
                <c:pt idx="10">
                  <c:v>1628</c:v>
                </c:pt>
                <c:pt idx="11">
                  <c:v>1341</c:v>
                </c:pt>
                <c:pt idx="12">
                  <c:v>2990</c:v>
                </c:pt>
                <c:pt idx="13">
                  <c:v>5766</c:v>
                </c:pt>
                <c:pt idx="14">
                  <c:v>5237</c:v>
                </c:pt>
                <c:pt idx="15">
                  <c:v>9373</c:v>
                </c:pt>
                <c:pt idx="16">
                  <c:v>7518</c:v>
                </c:pt>
                <c:pt idx="17">
                  <c:v>7932</c:v>
                </c:pt>
                <c:pt idx="18">
                  <c:v>7351</c:v>
                </c:pt>
                <c:pt idx="19">
                  <c:v>4297</c:v>
                </c:pt>
                <c:pt idx="20">
                  <c:v>10139</c:v>
                </c:pt>
                <c:pt idx="21">
                  <c:v>11265</c:v>
                </c:pt>
                <c:pt idx="22">
                  <c:v>15441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9A4-48B6-889B-FA8D48B62481}"/>
            </c:ext>
          </c:extLst>
        </c:ser>
        <c:ser>
          <c:idx val="6"/>
          <c:order val="6"/>
          <c:tx>
            <c:strRef>
              <c:f>엘오티베큠!$B$112</c:f>
              <c:strCache>
                <c:ptCount val="1"/>
                <c:pt idx="0">
                  <c:v>지급수수료</c:v>
                </c:pt>
              </c:strCache>
              <c:extLst xmlns:c15="http://schemas.microsoft.com/office/drawing/2012/chart"/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엘오티베큠!$C$112:$Y$112</c:f>
              <c:numCache>
                <c:formatCode>#,##0_ ;[Red]\-#,##0\ </c:formatCode>
                <c:ptCount val="23"/>
                <c:pt idx="0">
                  <c:v>927</c:v>
                </c:pt>
                <c:pt idx="1">
                  <c:v>426</c:v>
                </c:pt>
                <c:pt idx="2">
                  <c:v>969</c:v>
                </c:pt>
                <c:pt idx="3">
                  <c:v>680</c:v>
                </c:pt>
                <c:pt idx="4">
                  <c:v>769</c:v>
                </c:pt>
                <c:pt idx="5">
                  <c:v>1019</c:v>
                </c:pt>
                <c:pt idx="6">
                  <c:v>1699</c:v>
                </c:pt>
                <c:pt idx="7">
                  <c:v>312</c:v>
                </c:pt>
                <c:pt idx="8">
                  <c:v>597</c:v>
                </c:pt>
                <c:pt idx="9">
                  <c:v>1386</c:v>
                </c:pt>
                <c:pt idx="10">
                  <c:v>1002</c:v>
                </c:pt>
                <c:pt idx="11">
                  <c:v>4494</c:v>
                </c:pt>
                <c:pt idx="12">
                  <c:v>1118</c:v>
                </c:pt>
                <c:pt idx="13">
                  <c:v>798</c:v>
                </c:pt>
                <c:pt idx="14">
                  <c:v>966</c:v>
                </c:pt>
                <c:pt idx="15">
                  <c:v>644</c:v>
                </c:pt>
                <c:pt idx="16">
                  <c:v>1196</c:v>
                </c:pt>
                <c:pt idx="17">
                  <c:v>1421</c:v>
                </c:pt>
                <c:pt idx="18">
                  <c:v>1418</c:v>
                </c:pt>
                <c:pt idx="19">
                  <c:v>2494</c:v>
                </c:pt>
                <c:pt idx="20">
                  <c:v>2247</c:v>
                </c:pt>
                <c:pt idx="21">
                  <c:v>2585</c:v>
                </c:pt>
                <c:pt idx="22">
                  <c:v>3103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6-C9A4-48B6-889B-FA8D48B62481}"/>
            </c:ext>
          </c:extLst>
        </c:ser>
        <c:ser>
          <c:idx val="7"/>
          <c:order val="7"/>
          <c:tx>
            <c:strRef>
              <c:f>엘오티베큠!$B$113</c:f>
              <c:strCache>
                <c:ptCount val="1"/>
                <c:pt idx="0">
                  <c:v>소모품비</c:v>
                </c:pt>
              </c:strCache>
              <c:extLst xmlns:c15="http://schemas.microsoft.com/office/drawing/2012/chart"/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엘오티베큠!$C$113:$Y$113</c:f>
              <c:numCache>
                <c:formatCode>#,##0_ ;[Red]\-#,##0\ </c:formatCode>
                <c:ptCount val="23"/>
                <c:pt idx="4">
                  <c:v>1206</c:v>
                </c:pt>
                <c:pt idx="5">
                  <c:v>1464</c:v>
                </c:pt>
                <c:pt idx="6">
                  <c:v>803</c:v>
                </c:pt>
                <c:pt idx="7">
                  <c:v>1091</c:v>
                </c:pt>
                <c:pt idx="8">
                  <c:v>1213</c:v>
                </c:pt>
                <c:pt idx="9">
                  <c:v>1473</c:v>
                </c:pt>
                <c:pt idx="10">
                  <c:v>1364</c:v>
                </c:pt>
                <c:pt idx="11">
                  <c:v>1509</c:v>
                </c:pt>
                <c:pt idx="12">
                  <c:v>1011</c:v>
                </c:pt>
                <c:pt idx="13">
                  <c:v>1064</c:v>
                </c:pt>
                <c:pt idx="14">
                  <c:v>1123</c:v>
                </c:pt>
                <c:pt idx="15">
                  <c:v>1599</c:v>
                </c:pt>
                <c:pt idx="16">
                  <c:v>1530</c:v>
                </c:pt>
                <c:pt idx="17">
                  <c:v>1576</c:v>
                </c:pt>
                <c:pt idx="18">
                  <c:v>1216</c:v>
                </c:pt>
                <c:pt idx="19">
                  <c:v>2054</c:v>
                </c:pt>
                <c:pt idx="20">
                  <c:v>2080</c:v>
                </c:pt>
                <c:pt idx="21">
                  <c:v>2317</c:v>
                </c:pt>
                <c:pt idx="22">
                  <c:v>2739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7-C9A4-48B6-889B-FA8D48B62481}"/>
            </c:ext>
          </c:extLst>
        </c:ser>
        <c:ser>
          <c:idx val="8"/>
          <c:order val="8"/>
          <c:tx>
            <c:strRef>
              <c:f>엘오티베큠!$B$114</c:f>
              <c:strCache>
                <c:ptCount val="1"/>
                <c:pt idx="0">
                  <c:v>제품보증비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엘오티베큠!$C$114:$Y$114</c:f>
              <c:numCache>
                <c:formatCode>#,##0_ ;[Red]\-#,##0\ </c:formatCode>
                <c:ptCount val="23"/>
                <c:pt idx="4">
                  <c:v>1949</c:v>
                </c:pt>
                <c:pt idx="5">
                  <c:v>2618</c:v>
                </c:pt>
                <c:pt idx="6">
                  <c:v>1094</c:v>
                </c:pt>
                <c:pt idx="7">
                  <c:v>1451</c:v>
                </c:pt>
                <c:pt idx="8">
                  <c:v>1685</c:v>
                </c:pt>
                <c:pt idx="9">
                  <c:v>3603</c:v>
                </c:pt>
                <c:pt idx="10">
                  <c:v>3124</c:v>
                </c:pt>
                <c:pt idx="11">
                  <c:v>-2903</c:v>
                </c:pt>
                <c:pt idx="12">
                  <c:v>1771</c:v>
                </c:pt>
                <c:pt idx="13">
                  <c:v>2931</c:v>
                </c:pt>
                <c:pt idx="14">
                  <c:v>2989</c:v>
                </c:pt>
                <c:pt idx="15">
                  <c:v>4859</c:v>
                </c:pt>
                <c:pt idx="16">
                  <c:v>4636</c:v>
                </c:pt>
                <c:pt idx="17">
                  <c:v>3347</c:v>
                </c:pt>
                <c:pt idx="18">
                  <c:v>6278</c:v>
                </c:pt>
                <c:pt idx="19">
                  <c:v>4021</c:v>
                </c:pt>
                <c:pt idx="20">
                  <c:v>5079</c:v>
                </c:pt>
                <c:pt idx="21">
                  <c:v>8771</c:v>
                </c:pt>
                <c:pt idx="22">
                  <c:v>7579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9A4-48B6-889B-FA8D48B62481}"/>
            </c:ext>
          </c:extLst>
        </c:ser>
        <c:ser>
          <c:idx val="9"/>
          <c:order val="9"/>
          <c:tx>
            <c:strRef>
              <c:f>엘오티베큠!$B$115</c:f>
              <c:strCache>
                <c:ptCount val="1"/>
                <c:pt idx="0">
                  <c:v>기타</c:v>
                </c:pt>
              </c:strCache>
              <c:extLst xmlns:c15="http://schemas.microsoft.com/office/drawing/2012/chart"/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  <c:extLst xmlns:c15="http://schemas.microsoft.com/office/drawing/2012/chart"/>
            </c:strRef>
          </c:cat>
          <c:val>
            <c:numRef>
              <c:f>엘오티베큠!$C$115:$Y$115</c:f>
              <c:numCache>
                <c:formatCode>#,##0_ ;[Red]\-#,##0\ </c:formatCode>
                <c:ptCount val="23"/>
                <c:pt idx="4">
                  <c:v>2974</c:v>
                </c:pt>
                <c:pt idx="5">
                  <c:v>3692</c:v>
                </c:pt>
                <c:pt idx="6">
                  <c:v>3112</c:v>
                </c:pt>
                <c:pt idx="7">
                  <c:v>6120</c:v>
                </c:pt>
                <c:pt idx="8">
                  <c:v>4935</c:v>
                </c:pt>
                <c:pt idx="9">
                  <c:v>2516</c:v>
                </c:pt>
                <c:pt idx="10">
                  <c:v>6043</c:v>
                </c:pt>
                <c:pt idx="11">
                  <c:v>-2266</c:v>
                </c:pt>
                <c:pt idx="12">
                  <c:v>4212</c:v>
                </c:pt>
                <c:pt idx="13">
                  <c:v>2645</c:v>
                </c:pt>
                <c:pt idx="14">
                  <c:v>6997</c:v>
                </c:pt>
                <c:pt idx="15">
                  <c:v>1872</c:v>
                </c:pt>
                <c:pt idx="16">
                  <c:v>6421</c:v>
                </c:pt>
                <c:pt idx="17">
                  <c:v>12198</c:v>
                </c:pt>
                <c:pt idx="18">
                  <c:v>5376</c:v>
                </c:pt>
                <c:pt idx="19">
                  <c:v>2502</c:v>
                </c:pt>
                <c:pt idx="20">
                  <c:v>8585</c:v>
                </c:pt>
                <c:pt idx="21">
                  <c:v>11137</c:v>
                </c:pt>
                <c:pt idx="22">
                  <c:v>2294</c:v>
                </c:pt>
              </c:numCache>
              <c:extLst xmlns:c15="http://schemas.microsoft.com/office/drawing/2012/chart"/>
            </c:numRef>
          </c:val>
          <c:extLst>
            <c:ext xmlns:c16="http://schemas.microsoft.com/office/drawing/2014/chart" uri="{C3380CC4-5D6E-409C-BE32-E72D297353CC}">
              <c16:uniqueId val="{00000009-C9A4-48B6-889B-FA8D48B62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68040400"/>
        <c:axId val="1005872592"/>
      </c:barChart>
      <c:lineChart>
        <c:grouping val="standard"/>
        <c:varyColors val="0"/>
        <c:ser>
          <c:idx val="10"/>
          <c:order val="10"/>
          <c:tx>
            <c:strRef>
              <c:f>엘오티베큠!$B$117</c:f>
              <c:strCache>
                <c:ptCount val="1"/>
                <c:pt idx="0">
                  <c:v> 외주가공비 / 총 비용 비중(%)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엘오티베큠!$C$117:$Y$117</c:f>
              <c:numCache>
                <c:formatCode>0.0%</c:formatCode>
                <c:ptCount val="23"/>
                <c:pt idx="0">
                  <c:v>0.1526922388898827</c:v>
                </c:pt>
                <c:pt idx="1">
                  <c:v>0.15217391304347827</c:v>
                </c:pt>
                <c:pt idx="2">
                  <c:v>3.2726665553514778E-2</c:v>
                </c:pt>
                <c:pt idx="3">
                  <c:v>-2.3999024181990059E-2</c:v>
                </c:pt>
                <c:pt idx="4">
                  <c:v>4.7275885542592898E-2</c:v>
                </c:pt>
                <c:pt idx="5">
                  <c:v>4.4335196533997798E-2</c:v>
                </c:pt>
                <c:pt idx="6">
                  <c:v>4.6630491860668651E-2</c:v>
                </c:pt>
                <c:pt idx="7">
                  <c:v>4.6933179390965508E-2</c:v>
                </c:pt>
                <c:pt idx="8">
                  <c:v>5.4941354733711208E-2</c:v>
                </c:pt>
                <c:pt idx="9">
                  <c:v>4.2888334373050528E-2</c:v>
                </c:pt>
                <c:pt idx="10">
                  <c:v>4.4677406075907679E-2</c:v>
                </c:pt>
                <c:pt idx="11">
                  <c:v>2.8451403475272103E-2</c:v>
                </c:pt>
                <c:pt idx="12">
                  <c:v>6.3869782543683515E-2</c:v>
                </c:pt>
                <c:pt idx="13">
                  <c:v>0.15302953900050426</c:v>
                </c:pt>
                <c:pt idx="14">
                  <c:v>0.1127740212756794</c:v>
                </c:pt>
                <c:pt idx="15">
                  <c:v>0.27065346077214059</c:v>
                </c:pt>
                <c:pt idx="16">
                  <c:v>0.12158359478604004</c:v>
                </c:pt>
                <c:pt idx="17">
                  <c:v>0.11443740712420469</c:v>
                </c:pt>
                <c:pt idx="18">
                  <c:v>0.15954075874641896</c:v>
                </c:pt>
                <c:pt idx="19">
                  <c:v>8.9143829222247575E-2</c:v>
                </c:pt>
                <c:pt idx="20">
                  <c:v>0.14471261578864736</c:v>
                </c:pt>
                <c:pt idx="21">
                  <c:v>0.1444175224029845</c:v>
                </c:pt>
                <c:pt idx="22">
                  <c:v>0.16838971406137537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9A4-48B6-889B-FA8D48B62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926016"/>
        <c:axId val="676925600"/>
      </c:lineChart>
      <c:catAx>
        <c:axId val="106804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5872592"/>
        <c:crosses val="autoZero"/>
        <c:auto val="1"/>
        <c:lblAlgn val="ctr"/>
        <c:lblOffset val="100"/>
        <c:noMultiLvlLbl val="0"/>
      </c:catAx>
      <c:valAx>
        <c:axId val="100587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8040400"/>
        <c:crosses val="autoZero"/>
        <c:crossBetween val="between"/>
      </c:valAx>
      <c:valAx>
        <c:axId val="676925600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76926016"/>
        <c:crosses val="max"/>
        <c:crossBetween val="between"/>
      </c:valAx>
      <c:catAx>
        <c:axId val="676926016"/>
        <c:scaling>
          <c:orientation val="minMax"/>
        </c:scaling>
        <c:delete val="1"/>
        <c:axPos val="b"/>
        <c:majorTickMark val="out"/>
        <c:minorTickMark val="none"/>
        <c:tickLblPos val="nextTo"/>
        <c:crossAx val="6769256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매출원가 주요 비용 </a:t>
            </a:r>
            <a:r>
              <a:rPr lang="en-US" altLang="ko-KR"/>
              <a:t>- </a:t>
            </a:r>
            <a:r>
              <a:rPr lang="ko-KR" altLang="en-US"/>
              <a:t>매출원가율 비교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5"/>
          <c:order val="4"/>
          <c:tx>
            <c:strRef>
              <c:f>엘오티베큠!$B$111</c:f>
              <c:strCache>
                <c:ptCount val="1"/>
                <c:pt idx="0">
                  <c:v>외주가공비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엘오티베큠!$C$111:$Y$111</c:f>
              <c:numCache>
                <c:formatCode>#,##0_ ;[Red]\-#,##0\ </c:formatCode>
                <c:ptCount val="23"/>
                <c:pt idx="0">
                  <c:v>5975</c:v>
                </c:pt>
                <c:pt idx="1">
                  <c:v>6965</c:v>
                </c:pt>
                <c:pt idx="2">
                  <c:v>1568</c:v>
                </c:pt>
                <c:pt idx="3">
                  <c:v>-787</c:v>
                </c:pt>
                <c:pt idx="4">
                  <c:v>2014</c:v>
                </c:pt>
                <c:pt idx="5">
                  <c:v>1975</c:v>
                </c:pt>
                <c:pt idx="6">
                  <c:v>1332</c:v>
                </c:pt>
                <c:pt idx="7">
                  <c:v>1626</c:v>
                </c:pt>
                <c:pt idx="8">
                  <c:v>1958</c:v>
                </c:pt>
                <c:pt idx="9">
                  <c:v>1375</c:v>
                </c:pt>
                <c:pt idx="10">
                  <c:v>1628</c:v>
                </c:pt>
                <c:pt idx="11">
                  <c:v>1341</c:v>
                </c:pt>
                <c:pt idx="12">
                  <c:v>2990</c:v>
                </c:pt>
                <c:pt idx="13">
                  <c:v>5766</c:v>
                </c:pt>
                <c:pt idx="14">
                  <c:v>5237</c:v>
                </c:pt>
                <c:pt idx="15">
                  <c:v>9373</c:v>
                </c:pt>
                <c:pt idx="16">
                  <c:v>7518</c:v>
                </c:pt>
                <c:pt idx="17">
                  <c:v>7932</c:v>
                </c:pt>
                <c:pt idx="18">
                  <c:v>7351</c:v>
                </c:pt>
                <c:pt idx="19">
                  <c:v>4297</c:v>
                </c:pt>
                <c:pt idx="20">
                  <c:v>10139</c:v>
                </c:pt>
                <c:pt idx="21">
                  <c:v>11265</c:v>
                </c:pt>
                <c:pt idx="22">
                  <c:v>15441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9D-4473-9A95-B7A78F71671F}"/>
            </c:ext>
          </c:extLst>
        </c:ser>
        <c:ser>
          <c:idx val="8"/>
          <c:order val="7"/>
          <c:tx>
            <c:strRef>
              <c:f>엘오티베큠!$B$114</c:f>
              <c:strCache>
                <c:ptCount val="1"/>
                <c:pt idx="0">
                  <c:v>제품보증비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엘오티베큠!$C$105:$Y$105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엘오티베큠!$C$114:$Y$114</c:f>
              <c:numCache>
                <c:formatCode>#,##0_ ;[Red]\-#,##0\ </c:formatCode>
                <c:ptCount val="23"/>
                <c:pt idx="4">
                  <c:v>1949</c:v>
                </c:pt>
                <c:pt idx="5">
                  <c:v>2618</c:v>
                </c:pt>
                <c:pt idx="6">
                  <c:v>1094</c:v>
                </c:pt>
                <c:pt idx="7">
                  <c:v>1451</c:v>
                </c:pt>
                <c:pt idx="8">
                  <c:v>1685</c:v>
                </c:pt>
                <c:pt idx="9">
                  <c:v>3603</c:v>
                </c:pt>
                <c:pt idx="10">
                  <c:v>3124</c:v>
                </c:pt>
                <c:pt idx="11">
                  <c:v>-2903</c:v>
                </c:pt>
                <c:pt idx="12">
                  <c:v>1771</c:v>
                </c:pt>
                <c:pt idx="13">
                  <c:v>2931</c:v>
                </c:pt>
                <c:pt idx="14">
                  <c:v>2989</c:v>
                </c:pt>
                <c:pt idx="15">
                  <c:v>4859</c:v>
                </c:pt>
                <c:pt idx="16">
                  <c:v>4636</c:v>
                </c:pt>
                <c:pt idx="17">
                  <c:v>3347</c:v>
                </c:pt>
                <c:pt idx="18">
                  <c:v>6278</c:v>
                </c:pt>
                <c:pt idx="19">
                  <c:v>4021</c:v>
                </c:pt>
                <c:pt idx="20">
                  <c:v>5079</c:v>
                </c:pt>
                <c:pt idx="21">
                  <c:v>8771</c:v>
                </c:pt>
                <c:pt idx="22">
                  <c:v>7579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9D-4473-9A95-B7A78F71671F}"/>
            </c:ext>
          </c:extLst>
        </c:ser>
        <c:ser>
          <c:idx val="10"/>
          <c:order val="9"/>
          <c:tx>
            <c:strRef>
              <c:f>엘오티베큠!$B$119</c:f>
              <c:strCache>
                <c:ptCount val="1"/>
                <c:pt idx="0">
                  <c:v> 원재료 매입액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엘오티베큠!$C$119:$Y$119</c:f>
              <c:numCache>
                <c:formatCode>_(* #,##0_);_(* \(#,##0\);_(* "-"_);_(@_)</c:formatCode>
                <c:ptCount val="23"/>
                <c:pt idx="0">
                  <c:v>27915</c:v>
                </c:pt>
                <c:pt idx="1">
                  <c:v>31354</c:v>
                </c:pt>
                <c:pt idx="2">
                  <c:v>21593</c:v>
                </c:pt>
                <c:pt idx="3">
                  <c:v>18873</c:v>
                </c:pt>
                <c:pt idx="4">
                  <c:v>28520</c:v>
                </c:pt>
                <c:pt idx="5">
                  <c:v>26586</c:v>
                </c:pt>
                <c:pt idx="6">
                  <c:v>11253</c:v>
                </c:pt>
                <c:pt idx="7">
                  <c:v>15426</c:v>
                </c:pt>
                <c:pt idx="8">
                  <c:v>18939</c:v>
                </c:pt>
                <c:pt idx="9">
                  <c:v>14133</c:v>
                </c:pt>
                <c:pt idx="10">
                  <c:v>17297</c:v>
                </c:pt>
                <c:pt idx="11">
                  <c:v>22674</c:v>
                </c:pt>
                <c:pt idx="12">
                  <c:v>23861</c:v>
                </c:pt>
                <c:pt idx="13">
                  <c:v>22026</c:v>
                </c:pt>
                <c:pt idx="14">
                  <c:v>19976</c:v>
                </c:pt>
                <c:pt idx="15">
                  <c:v>35104</c:v>
                </c:pt>
                <c:pt idx="16">
                  <c:v>50635</c:v>
                </c:pt>
                <c:pt idx="17">
                  <c:v>52290</c:v>
                </c:pt>
                <c:pt idx="18">
                  <c:v>24359</c:v>
                </c:pt>
                <c:pt idx="19">
                  <c:v>39608</c:v>
                </c:pt>
                <c:pt idx="20">
                  <c:v>41546</c:v>
                </c:pt>
                <c:pt idx="21">
                  <c:v>43614</c:v>
                </c:pt>
                <c:pt idx="22">
                  <c:v>56252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A9-4AB4-A864-F59EB0A1FD8E}"/>
            </c:ext>
          </c:extLst>
        </c:ser>
        <c:ser>
          <c:idx val="2"/>
          <c:order val="11"/>
          <c:tx>
            <c:strRef>
              <c:f>엘오티베큠!$B$122</c:f>
              <c:strCache>
                <c:ptCount val="1"/>
                <c:pt idx="0">
                  <c:v> 공장 종업원 급여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엘오티베큠!$C$122:$Y$122</c:f>
              <c:numCache>
                <c:formatCode>_(* #,##0_);_(* \(#,##0\);_(* "-"_);_(@_)</c:formatCode>
                <c:ptCount val="23"/>
                <c:pt idx="0">
                  <c:v>2852</c:v>
                </c:pt>
                <c:pt idx="1">
                  <c:v>1930</c:v>
                </c:pt>
                <c:pt idx="2">
                  <c:v>4794</c:v>
                </c:pt>
                <c:pt idx="3">
                  <c:v>3360</c:v>
                </c:pt>
                <c:pt idx="4">
                  <c:v>4269</c:v>
                </c:pt>
                <c:pt idx="5">
                  <c:v>3288</c:v>
                </c:pt>
                <c:pt idx="6">
                  <c:v>3659</c:v>
                </c:pt>
                <c:pt idx="7">
                  <c:v>3615</c:v>
                </c:pt>
                <c:pt idx="8">
                  <c:v>4417</c:v>
                </c:pt>
                <c:pt idx="9">
                  <c:v>2549</c:v>
                </c:pt>
                <c:pt idx="10">
                  <c:v>3935</c:v>
                </c:pt>
                <c:pt idx="11">
                  <c:v>1816</c:v>
                </c:pt>
                <c:pt idx="12">
                  <c:v>3570</c:v>
                </c:pt>
                <c:pt idx="13">
                  <c:v>3099</c:v>
                </c:pt>
                <c:pt idx="14">
                  <c:v>2940</c:v>
                </c:pt>
                <c:pt idx="15">
                  <c:v>5657</c:v>
                </c:pt>
                <c:pt idx="16">
                  <c:v>4858</c:v>
                </c:pt>
                <c:pt idx="17">
                  <c:v>4866</c:v>
                </c:pt>
                <c:pt idx="18">
                  <c:v>4124</c:v>
                </c:pt>
                <c:pt idx="19">
                  <c:v>5611</c:v>
                </c:pt>
                <c:pt idx="20">
                  <c:v>5873</c:v>
                </c:pt>
                <c:pt idx="21">
                  <c:v>5634</c:v>
                </c:pt>
                <c:pt idx="22">
                  <c:v>5123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A9-4AB4-A864-F59EB0A1F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68040400"/>
        <c:axId val="10058725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엘오티베큠!$B$106</c15:sqref>
                        </c15:formulaRef>
                      </c:ext>
                    </c:extLst>
                    <c:strCache>
                      <c:ptCount val="1"/>
                      <c:pt idx="0">
                        <c:v>원재료 및 상품 등의 사용액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엘오티베큠!$C$106:$Y$106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16">
                        <c:v>29381</c:v>
                      </c:pt>
                      <c:pt idx="17">
                        <c:v>36358</c:v>
                      </c:pt>
                      <c:pt idx="18">
                        <c:v>3707</c:v>
                      </c:pt>
                      <c:pt idx="19">
                        <c:v>33425</c:v>
                      </c:pt>
                      <c:pt idx="20">
                        <c:v>27892</c:v>
                      </c:pt>
                      <c:pt idx="21">
                        <c:v>31041</c:v>
                      </c:pt>
                      <c:pt idx="22">
                        <c:v>49501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3E9D-4473-9A95-B7A78F71671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엘오티베큠!$B$107</c15:sqref>
                        </c15:formulaRef>
                      </c:ext>
                    </c:extLst>
                    <c:strCache>
                      <c:ptCount val="1"/>
                      <c:pt idx="0">
                        <c:v>제품 및 재공품 등의 변동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엘오티베큠!$C$107:$Y$107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25782</c:v>
                      </c:pt>
                      <c:pt idx="1">
                        <c:v>31934</c:v>
                      </c:pt>
                      <c:pt idx="2">
                        <c:v>36048</c:v>
                      </c:pt>
                      <c:pt idx="3">
                        <c:v>24975</c:v>
                      </c:pt>
                      <c:pt idx="4">
                        <c:v>24386</c:v>
                      </c:pt>
                      <c:pt idx="5">
                        <c:v>26836</c:v>
                      </c:pt>
                      <c:pt idx="6">
                        <c:v>11530</c:v>
                      </c:pt>
                      <c:pt idx="7">
                        <c:v>15247</c:v>
                      </c:pt>
                      <c:pt idx="8">
                        <c:v>15447</c:v>
                      </c:pt>
                      <c:pt idx="9">
                        <c:v>13836</c:v>
                      </c:pt>
                      <c:pt idx="10">
                        <c:v>14700</c:v>
                      </c:pt>
                      <c:pt idx="11">
                        <c:v>36149</c:v>
                      </c:pt>
                      <c:pt idx="12">
                        <c:v>25815</c:v>
                      </c:pt>
                      <c:pt idx="13">
                        <c:v>15560</c:v>
                      </c:pt>
                      <c:pt idx="14">
                        <c:v>20766</c:v>
                      </c:pt>
                      <c:pt idx="15">
                        <c:v>3778</c:v>
                      </c:pt>
                      <c:pt idx="16">
                        <c:v>-565</c:v>
                      </c:pt>
                      <c:pt idx="17">
                        <c:v>-4091</c:v>
                      </c:pt>
                      <c:pt idx="18">
                        <c:v>10624</c:v>
                      </c:pt>
                      <c:pt idx="19">
                        <c:v>-15438</c:v>
                      </c:pt>
                      <c:pt idx="20">
                        <c:v>-307</c:v>
                      </c:pt>
                      <c:pt idx="21">
                        <c:v>-2481</c:v>
                      </c:pt>
                      <c:pt idx="22">
                        <c:v>-4259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E9D-4473-9A95-B7A78F71671F}"/>
                  </c:ext>
                </c:extLst>
              </c15:ser>
            </c15:filteredBarSeries>
            <c15:filteredBarSeries>
              <c15:ser>
                <c:idx val="3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엘오티베큠!$B$109</c15:sqref>
                        </c15:formulaRef>
                      </c:ext>
                    </c:extLst>
                    <c:strCache>
                      <c:ptCount val="1"/>
                      <c:pt idx="0">
                        <c:v>감가상각비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엘오티베큠!$C$109:$Y$109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723</c:v>
                      </c:pt>
                      <c:pt idx="1">
                        <c:v>1237</c:v>
                      </c:pt>
                      <c:pt idx="2">
                        <c:v>844</c:v>
                      </c:pt>
                      <c:pt idx="3">
                        <c:v>699</c:v>
                      </c:pt>
                      <c:pt idx="4">
                        <c:v>879</c:v>
                      </c:pt>
                      <c:pt idx="5">
                        <c:v>762</c:v>
                      </c:pt>
                      <c:pt idx="6">
                        <c:v>721</c:v>
                      </c:pt>
                      <c:pt idx="7">
                        <c:v>638</c:v>
                      </c:pt>
                      <c:pt idx="8">
                        <c:v>989</c:v>
                      </c:pt>
                      <c:pt idx="9">
                        <c:v>1240</c:v>
                      </c:pt>
                      <c:pt idx="10">
                        <c:v>765</c:v>
                      </c:pt>
                      <c:pt idx="11">
                        <c:v>2720</c:v>
                      </c:pt>
                      <c:pt idx="12">
                        <c:v>1839</c:v>
                      </c:pt>
                      <c:pt idx="13">
                        <c:v>1651</c:v>
                      </c:pt>
                      <c:pt idx="14">
                        <c:v>1310</c:v>
                      </c:pt>
                      <c:pt idx="15">
                        <c:v>1630</c:v>
                      </c:pt>
                      <c:pt idx="16">
                        <c:v>1523</c:v>
                      </c:pt>
                      <c:pt idx="17">
                        <c:v>1522</c:v>
                      </c:pt>
                      <c:pt idx="18">
                        <c:v>1562</c:v>
                      </c:pt>
                      <c:pt idx="19">
                        <c:v>1840</c:v>
                      </c:pt>
                      <c:pt idx="20">
                        <c:v>2049</c:v>
                      </c:pt>
                      <c:pt idx="21">
                        <c:v>1643</c:v>
                      </c:pt>
                      <c:pt idx="22">
                        <c:v>1774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3E9D-4473-9A95-B7A78F71671F}"/>
                  </c:ext>
                </c:extLst>
              </c15:ser>
            </c15:filteredBarSeries>
            <c15:filteredBarSeries>
              <c15:ser>
                <c:idx val="4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엘오티베큠!$B$110</c15:sqref>
                        </c15:formulaRef>
                      </c:ext>
                    </c:extLst>
                    <c:strCache>
                      <c:ptCount val="1"/>
                      <c:pt idx="0">
                        <c:v>무형자산상각비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엘오티베큠!$C$110:$Y$110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101</c:v>
                      </c:pt>
                      <c:pt idx="1">
                        <c:v>790</c:v>
                      </c:pt>
                      <c:pt idx="2">
                        <c:v>452</c:v>
                      </c:pt>
                      <c:pt idx="3">
                        <c:v>458</c:v>
                      </c:pt>
                      <c:pt idx="4">
                        <c:v>461</c:v>
                      </c:pt>
                      <c:pt idx="5">
                        <c:v>83</c:v>
                      </c:pt>
                      <c:pt idx="6">
                        <c:v>978</c:v>
                      </c:pt>
                      <c:pt idx="7">
                        <c:v>557</c:v>
                      </c:pt>
                      <c:pt idx="8">
                        <c:v>559</c:v>
                      </c:pt>
                      <c:pt idx="9">
                        <c:v>568</c:v>
                      </c:pt>
                      <c:pt idx="10">
                        <c:v>554</c:v>
                      </c:pt>
                      <c:pt idx="11">
                        <c:v>557</c:v>
                      </c:pt>
                      <c:pt idx="12">
                        <c:v>558</c:v>
                      </c:pt>
                      <c:pt idx="13">
                        <c:v>580</c:v>
                      </c:pt>
                      <c:pt idx="14">
                        <c:v>616</c:v>
                      </c:pt>
                      <c:pt idx="15">
                        <c:v>605</c:v>
                      </c:pt>
                      <c:pt idx="16">
                        <c:v>481</c:v>
                      </c:pt>
                      <c:pt idx="17">
                        <c:v>384</c:v>
                      </c:pt>
                      <c:pt idx="18">
                        <c:v>228</c:v>
                      </c:pt>
                      <c:pt idx="19">
                        <c:v>200</c:v>
                      </c:pt>
                      <c:pt idx="20">
                        <c:v>225</c:v>
                      </c:pt>
                      <c:pt idx="21">
                        <c:v>254</c:v>
                      </c:pt>
                      <c:pt idx="22">
                        <c:v>259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3E9D-4473-9A95-B7A78F71671F}"/>
                  </c:ext>
                </c:extLst>
              </c15:ser>
            </c15:filteredBarSeries>
            <c15:filteredBarSeries>
              <c15:ser>
                <c:idx val="6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엘오티베큠!$B$112</c15:sqref>
                        </c15:formulaRef>
                      </c:ext>
                    </c:extLst>
                    <c:strCache>
                      <c:ptCount val="1"/>
                      <c:pt idx="0">
                        <c:v>지급수수료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엘오티베큠!$C$112:$Y$112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927</c:v>
                      </c:pt>
                      <c:pt idx="1">
                        <c:v>426</c:v>
                      </c:pt>
                      <c:pt idx="2">
                        <c:v>969</c:v>
                      </c:pt>
                      <c:pt idx="3">
                        <c:v>680</c:v>
                      </c:pt>
                      <c:pt idx="4">
                        <c:v>769</c:v>
                      </c:pt>
                      <c:pt idx="5">
                        <c:v>1019</c:v>
                      </c:pt>
                      <c:pt idx="6">
                        <c:v>1699</c:v>
                      </c:pt>
                      <c:pt idx="7">
                        <c:v>312</c:v>
                      </c:pt>
                      <c:pt idx="8">
                        <c:v>597</c:v>
                      </c:pt>
                      <c:pt idx="9">
                        <c:v>1386</c:v>
                      </c:pt>
                      <c:pt idx="10">
                        <c:v>1002</c:v>
                      </c:pt>
                      <c:pt idx="11">
                        <c:v>4494</c:v>
                      </c:pt>
                      <c:pt idx="12">
                        <c:v>1118</c:v>
                      </c:pt>
                      <c:pt idx="13">
                        <c:v>798</c:v>
                      </c:pt>
                      <c:pt idx="14">
                        <c:v>966</c:v>
                      </c:pt>
                      <c:pt idx="15">
                        <c:v>644</c:v>
                      </c:pt>
                      <c:pt idx="16">
                        <c:v>1196</c:v>
                      </c:pt>
                      <c:pt idx="17">
                        <c:v>1421</c:v>
                      </c:pt>
                      <c:pt idx="18">
                        <c:v>1418</c:v>
                      </c:pt>
                      <c:pt idx="19">
                        <c:v>2494</c:v>
                      </c:pt>
                      <c:pt idx="20">
                        <c:v>2247</c:v>
                      </c:pt>
                      <c:pt idx="21">
                        <c:v>2585</c:v>
                      </c:pt>
                      <c:pt idx="22">
                        <c:v>3103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3E9D-4473-9A95-B7A78F71671F}"/>
                  </c:ext>
                </c:extLst>
              </c15:ser>
            </c15:filteredBarSeries>
            <c15:filteredBarSeries>
              <c15:ser>
                <c:idx val="7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엘오티베큠!$B$113</c15:sqref>
                        </c15:formulaRef>
                      </c:ext>
                    </c:extLst>
                    <c:strCache>
                      <c:ptCount val="1"/>
                      <c:pt idx="0">
                        <c:v>소모품비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엘오티베큠!$C$113:$Y$113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4">
                        <c:v>1206</c:v>
                      </c:pt>
                      <c:pt idx="5">
                        <c:v>1464</c:v>
                      </c:pt>
                      <c:pt idx="6">
                        <c:v>803</c:v>
                      </c:pt>
                      <c:pt idx="7">
                        <c:v>1091</c:v>
                      </c:pt>
                      <c:pt idx="8">
                        <c:v>1213</c:v>
                      </c:pt>
                      <c:pt idx="9">
                        <c:v>1473</c:v>
                      </c:pt>
                      <c:pt idx="10">
                        <c:v>1364</c:v>
                      </c:pt>
                      <c:pt idx="11">
                        <c:v>1509</c:v>
                      </c:pt>
                      <c:pt idx="12">
                        <c:v>1011</c:v>
                      </c:pt>
                      <c:pt idx="13">
                        <c:v>1064</c:v>
                      </c:pt>
                      <c:pt idx="14">
                        <c:v>1123</c:v>
                      </c:pt>
                      <c:pt idx="15">
                        <c:v>1599</c:v>
                      </c:pt>
                      <c:pt idx="16">
                        <c:v>1530</c:v>
                      </c:pt>
                      <c:pt idx="17">
                        <c:v>1576</c:v>
                      </c:pt>
                      <c:pt idx="18">
                        <c:v>1216</c:v>
                      </c:pt>
                      <c:pt idx="19">
                        <c:v>2054</c:v>
                      </c:pt>
                      <c:pt idx="20">
                        <c:v>2080</c:v>
                      </c:pt>
                      <c:pt idx="21">
                        <c:v>2317</c:v>
                      </c:pt>
                      <c:pt idx="22">
                        <c:v>2739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3E9D-4473-9A95-B7A78F71671F}"/>
                  </c:ext>
                </c:extLst>
              </c15:ser>
            </c15:filteredBarSeries>
            <c15:filteredBarSeries>
              <c15:ser>
                <c:idx val="9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엘오티베큠!$B$115</c15:sqref>
                        </c15:formulaRef>
                      </c:ext>
                    </c:extLst>
                    <c:strCache>
                      <c:ptCount val="1"/>
                      <c:pt idx="0">
                        <c:v>기타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엘오티베큠!$C$105:$Y$105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엘오티베큠!$C$115:$Y$115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4">
                        <c:v>2974</c:v>
                      </c:pt>
                      <c:pt idx="5">
                        <c:v>3692</c:v>
                      </c:pt>
                      <c:pt idx="6">
                        <c:v>3112</c:v>
                      </c:pt>
                      <c:pt idx="7">
                        <c:v>6120</c:v>
                      </c:pt>
                      <c:pt idx="8">
                        <c:v>4935</c:v>
                      </c:pt>
                      <c:pt idx="9">
                        <c:v>2516</c:v>
                      </c:pt>
                      <c:pt idx="10">
                        <c:v>6043</c:v>
                      </c:pt>
                      <c:pt idx="11">
                        <c:v>-2266</c:v>
                      </c:pt>
                      <c:pt idx="12">
                        <c:v>4212</c:v>
                      </c:pt>
                      <c:pt idx="13">
                        <c:v>2645</c:v>
                      </c:pt>
                      <c:pt idx="14">
                        <c:v>6997</c:v>
                      </c:pt>
                      <c:pt idx="15">
                        <c:v>1872</c:v>
                      </c:pt>
                      <c:pt idx="16">
                        <c:v>6421</c:v>
                      </c:pt>
                      <c:pt idx="17">
                        <c:v>12198</c:v>
                      </c:pt>
                      <c:pt idx="18">
                        <c:v>5376</c:v>
                      </c:pt>
                      <c:pt idx="19">
                        <c:v>2502</c:v>
                      </c:pt>
                      <c:pt idx="20">
                        <c:v>8585</c:v>
                      </c:pt>
                      <c:pt idx="21">
                        <c:v>11137</c:v>
                      </c:pt>
                      <c:pt idx="22">
                        <c:v>2294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3E9D-4473-9A95-B7A78F71671F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12"/>
          <c:order val="12"/>
          <c:tx>
            <c:strRef>
              <c:f>엘오티베큠!$B$10</c:f>
              <c:strCache>
                <c:ptCount val="1"/>
                <c:pt idx="0">
                  <c:v> GPM(%)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엘오티베큠!$C$10:$Y$10</c:f>
              <c:numCache>
                <c:formatCode>0.0%</c:formatCode>
                <c:ptCount val="23"/>
                <c:pt idx="0">
                  <c:v>0.31140098010954165</c:v>
                </c:pt>
                <c:pt idx="1">
                  <c:v>0.29764593984068483</c:v>
                </c:pt>
                <c:pt idx="2">
                  <c:v>0.33373048222236157</c:v>
                </c:pt>
                <c:pt idx="3">
                  <c:v>0.30251432208784212</c:v>
                </c:pt>
                <c:pt idx="4">
                  <c:v>0.3794975845410628</c:v>
                </c:pt>
                <c:pt idx="5">
                  <c:v>0.33873281981573783</c:v>
                </c:pt>
                <c:pt idx="6">
                  <c:v>0.36023356284595653</c:v>
                </c:pt>
                <c:pt idx="7">
                  <c:v>0.32100777854037976</c:v>
                </c:pt>
                <c:pt idx="8">
                  <c:v>0.31466268359472244</c:v>
                </c:pt>
                <c:pt idx="9">
                  <c:v>0.32025107785949786</c:v>
                </c:pt>
                <c:pt idx="10">
                  <c:v>0.28540366532064498</c:v>
                </c:pt>
                <c:pt idx="11">
                  <c:v>0.25350588734486051</c:v>
                </c:pt>
                <c:pt idx="12">
                  <c:v>0.35863778895938159</c:v>
                </c:pt>
                <c:pt idx="13">
                  <c:v>0.35122945903802327</c:v>
                </c:pt>
                <c:pt idx="14">
                  <c:v>0.18400613896381732</c:v>
                </c:pt>
                <c:pt idx="15">
                  <c:v>0.35677329799987378</c:v>
                </c:pt>
                <c:pt idx="16">
                  <c:v>0.36960827464788731</c:v>
                </c:pt>
                <c:pt idx="17">
                  <c:v>0.3580113760384166</c:v>
                </c:pt>
                <c:pt idx="18">
                  <c:v>0.39697944070934427</c:v>
                </c:pt>
                <c:pt idx="19">
                  <c:v>0.37312372170416336</c:v>
                </c:pt>
                <c:pt idx="20">
                  <c:v>0.33063731695292409</c:v>
                </c:pt>
                <c:pt idx="21">
                  <c:v>0.35978195033313143</c:v>
                </c:pt>
                <c:pt idx="22">
                  <c:v>0.36190963111591296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BA9-4AB4-A864-F59EB0A1F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631808"/>
        <c:axId val="132633888"/>
        <c:extLst>
          <c:ext xmlns:c15="http://schemas.microsoft.com/office/drawing/2012/chart" uri="{02D57815-91ED-43cb-92C2-25804820EDAC}">
            <c15:filteredLineSeries>
              <c15:ser>
                <c:idx val="11"/>
                <c:order val="10"/>
                <c:tx>
                  <c:strRef>
                    <c:extLst>
                      <c:ext uri="{02D57815-91ED-43cb-92C2-25804820EDAC}">
                        <c15:formulaRef>
                          <c15:sqref>엘오티베큠!$B$8</c15:sqref>
                        </c15:formulaRef>
                      </c:ext>
                    </c:extLst>
                    <c:strCache>
                      <c:ptCount val="1"/>
                      <c:pt idx="0">
                        <c:v>  매출원가율(%)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엘오티베큠!$C$8:$Y$8</c15:sqref>
                        </c15:formulaRef>
                      </c:ext>
                    </c:extLst>
                    <c:numCache>
                      <c:formatCode>0.0%</c:formatCode>
                      <c:ptCount val="23"/>
                      <c:pt idx="0">
                        <c:v>0.68859901989045835</c:v>
                      </c:pt>
                      <c:pt idx="1">
                        <c:v>0.70235406015931523</c:v>
                      </c:pt>
                      <c:pt idx="2">
                        <c:v>0.66626951777763843</c:v>
                      </c:pt>
                      <c:pt idx="3">
                        <c:v>0.69748567791215788</c:v>
                      </c:pt>
                      <c:pt idx="4">
                        <c:v>0.62050241545893725</c:v>
                      </c:pt>
                      <c:pt idx="5">
                        <c:v>0.66126718018426223</c:v>
                      </c:pt>
                      <c:pt idx="6">
                        <c:v>0.63976643715404347</c:v>
                      </c:pt>
                      <c:pt idx="7">
                        <c:v>0.67899222145962024</c:v>
                      </c:pt>
                      <c:pt idx="8">
                        <c:v>0.68533731640527762</c:v>
                      </c:pt>
                      <c:pt idx="9">
                        <c:v>0.6797489221405022</c:v>
                      </c:pt>
                      <c:pt idx="10">
                        <c:v>0.71459633467935502</c:v>
                      </c:pt>
                      <c:pt idx="11">
                        <c:v>0.74649411265513954</c:v>
                      </c:pt>
                      <c:pt idx="12">
                        <c:v>0.64136221104061841</c:v>
                      </c:pt>
                      <c:pt idx="13">
                        <c:v>0.64877054096197673</c:v>
                      </c:pt>
                      <c:pt idx="14">
                        <c:v>0.81599386103618265</c:v>
                      </c:pt>
                      <c:pt idx="15">
                        <c:v>0.64322670200012622</c:v>
                      </c:pt>
                      <c:pt idx="16">
                        <c:v>0.63039172535211263</c:v>
                      </c:pt>
                      <c:pt idx="17">
                        <c:v>0.6419886239615834</c:v>
                      </c:pt>
                      <c:pt idx="18">
                        <c:v>0.60302055929065579</c:v>
                      </c:pt>
                      <c:pt idx="19">
                        <c:v>0.6268762782958367</c:v>
                      </c:pt>
                      <c:pt idx="20">
                        <c:v>0.66936268304707591</c:v>
                      </c:pt>
                      <c:pt idx="21">
                        <c:v>0.64021804966686857</c:v>
                      </c:pt>
                      <c:pt idx="22">
                        <c:v>0.6380903688840871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1BA9-4AB4-A864-F59EB0A1FD8E}"/>
                  </c:ext>
                </c:extLst>
              </c15:ser>
            </c15:filteredLineSeries>
          </c:ext>
        </c:extLst>
      </c:lineChart>
      <c:catAx>
        <c:axId val="106804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5872592"/>
        <c:crosses val="autoZero"/>
        <c:auto val="1"/>
        <c:lblAlgn val="ctr"/>
        <c:lblOffset val="100"/>
        <c:noMultiLvlLbl val="0"/>
      </c:catAx>
      <c:valAx>
        <c:axId val="100587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8040400"/>
        <c:crosses val="autoZero"/>
        <c:crossBetween val="between"/>
      </c:valAx>
      <c:valAx>
        <c:axId val="132633888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631808"/>
        <c:crosses val="max"/>
        <c:crossBetween val="between"/>
      </c:valAx>
      <c:catAx>
        <c:axId val="132631808"/>
        <c:scaling>
          <c:orientation val="minMax"/>
        </c:scaling>
        <c:delete val="1"/>
        <c:axPos val="b"/>
        <c:majorTickMark val="out"/>
        <c:minorTickMark val="none"/>
        <c:tickLblPos val="nextTo"/>
        <c:crossAx val="1326338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판매비와 관리비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엘오티베큠!$B$125</c:f>
              <c:strCache>
                <c:ptCount val="1"/>
                <c:pt idx="0">
                  <c:v> 급여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엘오티베큠!$C$125:$Y$125</c:f>
              <c:numCache>
                <c:formatCode>#,##0_ ;[Red]\-#,##0\ </c:formatCode>
                <c:ptCount val="23"/>
                <c:pt idx="0">
                  <c:v>1886</c:v>
                </c:pt>
                <c:pt idx="1">
                  <c:v>1994</c:v>
                </c:pt>
                <c:pt idx="2">
                  <c:v>2017</c:v>
                </c:pt>
                <c:pt idx="3">
                  <c:v>2007</c:v>
                </c:pt>
                <c:pt idx="4">
                  <c:v>2169</c:v>
                </c:pt>
                <c:pt idx="5">
                  <c:v>2263</c:v>
                </c:pt>
                <c:pt idx="6">
                  <c:v>2368</c:v>
                </c:pt>
                <c:pt idx="7">
                  <c:v>2636</c:v>
                </c:pt>
                <c:pt idx="8">
                  <c:v>2594</c:v>
                </c:pt>
                <c:pt idx="9">
                  <c:v>2665</c:v>
                </c:pt>
                <c:pt idx="10">
                  <c:v>2653</c:v>
                </c:pt>
                <c:pt idx="11">
                  <c:v>2874</c:v>
                </c:pt>
                <c:pt idx="12">
                  <c:v>2809</c:v>
                </c:pt>
                <c:pt idx="13">
                  <c:v>2911</c:v>
                </c:pt>
                <c:pt idx="14">
                  <c:v>2759</c:v>
                </c:pt>
                <c:pt idx="15">
                  <c:v>2672</c:v>
                </c:pt>
                <c:pt idx="16">
                  <c:v>3107</c:v>
                </c:pt>
                <c:pt idx="17">
                  <c:v>2974</c:v>
                </c:pt>
                <c:pt idx="18">
                  <c:v>3246</c:v>
                </c:pt>
                <c:pt idx="19">
                  <c:v>3425</c:v>
                </c:pt>
                <c:pt idx="20">
                  <c:v>4410</c:v>
                </c:pt>
                <c:pt idx="21">
                  <c:v>4313</c:v>
                </c:pt>
                <c:pt idx="22">
                  <c:v>4718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C0-4AE7-99E4-0259073C5F2A}"/>
            </c:ext>
          </c:extLst>
        </c:ser>
        <c:ser>
          <c:idx val="1"/>
          <c:order val="1"/>
          <c:tx>
            <c:strRef>
              <c:f>엘오티베큠!$B$126</c:f>
              <c:strCache>
                <c:ptCount val="1"/>
                <c:pt idx="0">
                  <c:v> 상여금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엘오티베큠!$C$126:$Y$126</c:f>
              <c:numCache>
                <c:formatCode>#,##0_ ;[Red]\-#,##0\ </c:formatCode>
                <c:ptCount val="23"/>
                <c:pt idx="0">
                  <c:v>411</c:v>
                </c:pt>
                <c:pt idx="1">
                  <c:v>52</c:v>
                </c:pt>
                <c:pt idx="2">
                  <c:v>677</c:v>
                </c:pt>
                <c:pt idx="3">
                  <c:v>733</c:v>
                </c:pt>
                <c:pt idx="4">
                  <c:v>946</c:v>
                </c:pt>
                <c:pt idx="5">
                  <c:v>56</c:v>
                </c:pt>
                <c:pt idx="6">
                  <c:v>352</c:v>
                </c:pt>
                <c:pt idx="7">
                  <c:v>878</c:v>
                </c:pt>
                <c:pt idx="8">
                  <c:v>583</c:v>
                </c:pt>
                <c:pt idx="9">
                  <c:v>44</c:v>
                </c:pt>
                <c:pt idx="10">
                  <c:v>-75</c:v>
                </c:pt>
                <c:pt idx="11">
                  <c:v>6</c:v>
                </c:pt>
                <c:pt idx="12">
                  <c:v>454</c:v>
                </c:pt>
                <c:pt idx="13">
                  <c:v>46</c:v>
                </c:pt>
                <c:pt idx="14">
                  <c:v>83</c:v>
                </c:pt>
                <c:pt idx="15">
                  <c:v>1035</c:v>
                </c:pt>
                <c:pt idx="16">
                  <c:v>1023</c:v>
                </c:pt>
                <c:pt idx="17">
                  <c:v>49</c:v>
                </c:pt>
                <c:pt idx="18">
                  <c:v>270</c:v>
                </c:pt>
                <c:pt idx="19">
                  <c:v>2631</c:v>
                </c:pt>
                <c:pt idx="20">
                  <c:v>716</c:v>
                </c:pt>
                <c:pt idx="21">
                  <c:v>283</c:v>
                </c:pt>
                <c:pt idx="22">
                  <c:v>2196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C0-4AE7-99E4-0259073C5F2A}"/>
            </c:ext>
          </c:extLst>
        </c:ser>
        <c:ser>
          <c:idx val="2"/>
          <c:order val="2"/>
          <c:tx>
            <c:strRef>
              <c:f>엘오티베큠!$B$127</c:f>
              <c:strCache>
                <c:ptCount val="1"/>
                <c:pt idx="0">
                  <c:v> 퇴직급여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엘오티베큠!$C$127:$Y$127</c:f>
              <c:numCache>
                <c:formatCode>#,##0_ ;[Red]\-#,##0\ </c:formatCode>
                <c:ptCount val="23"/>
                <c:pt idx="0">
                  <c:v>194</c:v>
                </c:pt>
                <c:pt idx="1">
                  <c:v>53</c:v>
                </c:pt>
                <c:pt idx="2">
                  <c:v>311</c:v>
                </c:pt>
                <c:pt idx="3">
                  <c:v>263</c:v>
                </c:pt>
                <c:pt idx="4">
                  <c:v>274</c:v>
                </c:pt>
                <c:pt idx="5">
                  <c:v>73</c:v>
                </c:pt>
                <c:pt idx="6">
                  <c:v>607</c:v>
                </c:pt>
                <c:pt idx="7">
                  <c:v>-63</c:v>
                </c:pt>
                <c:pt idx="8">
                  <c:v>332</c:v>
                </c:pt>
                <c:pt idx="9">
                  <c:v>305</c:v>
                </c:pt>
                <c:pt idx="10">
                  <c:v>299</c:v>
                </c:pt>
                <c:pt idx="11">
                  <c:v>268</c:v>
                </c:pt>
                <c:pt idx="12">
                  <c:v>316</c:v>
                </c:pt>
                <c:pt idx="13">
                  <c:v>324</c:v>
                </c:pt>
                <c:pt idx="14">
                  <c:v>317</c:v>
                </c:pt>
                <c:pt idx="15">
                  <c:v>427</c:v>
                </c:pt>
                <c:pt idx="16">
                  <c:v>367</c:v>
                </c:pt>
                <c:pt idx="17">
                  <c:v>342</c:v>
                </c:pt>
                <c:pt idx="18">
                  <c:v>219</c:v>
                </c:pt>
                <c:pt idx="19">
                  <c:v>513</c:v>
                </c:pt>
                <c:pt idx="20">
                  <c:v>516</c:v>
                </c:pt>
                <c:pt idx="21">
                  <c:v>498</c:v>
                </c:pt>
                <c:pt idx="22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6C0-4AE7-99E4-0259073C5F2A}"/>
            </c:ext>
          </c:extLst>
        </c:ser>
        <c:ser>
          <c:idx val="3"/>
          <c:order val="3"/>
          <c:tx>
            <c:strRef>
              <c:f>엘오티베큠!$B$128</c:f>
              <c:strCache>
                <c:ptCount val="1"/>
                <c:pt idx="0">
                  <c:v> 복리후생비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엘오티베큠!$C$128:$Y$128</c:f>
              <c:numCache>
                <c:formatCode>#,##0_ ;[Red]\-#,##0\ </c:formatCode>
                <c:ptCount val="23"/>
                <c:pt idx="0">
                  <c:v>280</c:v>
                </c:pt>
                <c:pt idx="1">
                  <c:v>389</c:v>
                </c:pt>
                <c:pt idx="2">
                  <c:v>232</c:v>
                </c:pt>
                <c:pt idx="3">
                  <c:v>405</c:v>
                </c:pt>
                <c:pt idx="4">
                  <c:v>305</c:v>
                </c:pt>
                <c:pt idx="5">
                  <c:v>418</c:v>
                </c:pt>
                <c:pt idx="6">
                  <c:v>310</c:v>
                </c:pt>
                <c:pt idx="7">
                  <c:v>537</c:v>
                </c:pt>
                <c:pt idx="8">
                  <c:v>329</c:v>
                </c:pt>
                <c:pt idx="9">
                  <c:v>500</c:v>
                </c:pt>
                <c:pt idx="10">
                  <c:v>447</c:v>
                </c:pt>
                <c:pt idx="11">
                  <c:v>568</c:v>
                </c:pt>
                <c:pt idx="12">
                  <c:v>351</c:v>
                </c:pt>
                <c:pt idx="13">
                  <c:v>304</c:v>
                </c:pt>
                <c:pt idx="14">
                  <c:v>335</c:v>
                </c:pt>
                <c:pt idx="15">
                  <c:v>480</c:v>
                </c:pt>
                <c:pt idx="16">
                  <c:v>358</c:v>
                </c:pt>
                <c:pt idx="17">
                  <c:v>435</c:v>
                </c:pt>
                <c:pt idx="18">
                  <c:v>457</c:v>
                </c:pt>
                <c:pt idx="19">
                  <c:v>628</c:v>
                </c:pt>
                <c:pt idx="20">
                  <c:v>559</c:v>
                </c:pt>
                <c:pt idx="21">
                  <c:v>743</c:v>
                </c:pt>
                <c:pt idx="22">
                  <c:v>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6C0-4AE7-99E4-0259073C5F2A}"/>
            </c:ext>
          </c:extLst>
        </c:ser>
        <c:ser>
          <c:idx val="4"/>
          <c:order val="4"/>
          <c:tx>
            <c:strRef>
              <c:f>엘오티베큠!$B$129</c:f>
              <c:strCache>
                <c:ptCount val="1"/>
                <c:pt idx="0">
                  <c:v> 수도광열비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엘오티베큠!$C$129:$Y$129</c:f>
              <c:numCache>
                <c:formatCode>#,##0_ ;[Red]\-#,##0\ </c:formatCode>
                <c:ptCount val="23"/>
                <c:pt idx="0">
                  <c:v>93</c:v>
                </c:pt>
                <c:pt idx="1">
                  <c:v>55</c:v>
                </c:pt>
                <c:pt idx="2">
                  <c:v>80</c:v>
                </c:pt>
                <c:pt idx="3">
                  <c:v>65</c:v>
                </c:pt>
                <c:pt idx="4">
                  <c:v>92</c:v>
                </c:pt>
                <c:pt idx="5">
                  <c:v>59</c:v>
                </c:pt>
                <c:pt idx="6">
                  <c:v>74</c:v>
                </c:pt>
                <c:pt idx="7">
                  <c:v>75</c:v>
                </c:pt>
                <c:pt idx="8">
                  <c:v>96</c:v>
                </c:pt>
                <c:pt idx="9">
                  <c:v>182</c:v>
                </c:pt>
                <c:pt idx="10">
                  <c:v>485</c:v>
                </c:pt>
                <c:pt idx="11">
                  <c:v>263</c:v>
                </c:pt>
                <c:pt idx="12">
                  <c:v>185</c:v>
                </c:pt>
                <c:pt idx="13">
                  <c:v>136</c:v>
                </c:pt>
                <c:pt idx="14">
                  <c:v>147</c:v>
                </c:pt>
                <c:pt idx="15">
                  <c:v>104</c:v>
                </c:pt>
                <c:pt idx="16">
                  <c:v>130</c:v>
                </c:pt>
                <c:pt idx="17">
                  <c:v>85</c:v>
                </c:pt>
                <c:pt idx="18">
                  <c:v>153</c:v>
                </c:pt>
                <c:pt idx="19">
                  <c:v>660</c:v>
                </c:pt>
                <c:pt idx="20">
                  <c:v>265</c:v>
                </c:pt>
                <c:pt idx="21">
                  <c:v>207</c:v>
                </c:pt>
                <c:pt idx="22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6C0-4AE7-99E4-0259073C5F2A}"/>
            </c:ext>
          </c:extLst>
        </c:ser>
        <c:ser>
          <c:idx val="5"/>
          <c:order val="5"/>
          <c:tx>
            <c:strRef>
              <c:f>엘오티베큠!$B$130</c:f>
              <c:strCache>
                <c:ptCount val="1"/>
                <c:pt idx="0">
                  <c:v> 지급임차료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엘오티베큠!$C$130:$Y$130</c:f>
              <c:numCache>
                <c:formatCode>#,##0_ ;[Red]\-#,##0\ </c:formatCode>
                <c:ptCount val="23"/>
                <c:pt idx="0">
                  <c:v>81</c:v>
                </c:pt>
                <c:pt idx="1">
                  <c:v>85</c:v>
                </c:pt>
                <c:pt idx="2">
                  <c:v>86</c:v>
                </c:pt>
                <c:pt idx="3">
                  <c:v>88</c:v>
                </c:pt>
                <c:pt idx="4">
                  <c:v>98</c:v>
                </c:pt>
                <c:pt idx="5">
                  <c:v>123</c:v>
                </c:pt>
                <c:pt idx="6">
                  <c:v>102</c:v>
                </c:pt>
                <c:pt idx="7">
                  <c:v>177</c:v>
                </c:pt>
                <c:pt idx="8">
                  <c:v>54</c:v>
                </c:pt>
                <c:pt idx="9">
                  <c:v>48</c:v>
                </c:pt>
                <c:pt idx="10">
                  <c:v>54</c:v>
                </c:pt>
                <c:pt idx="11">
                  <c:v>-2</c:v>
                </c:pt>
                <c:pt idx="12">
                  <c:v>36</c:v>
                </c:pt>
                <c:pt idx="13">
                  <c:v>35</c:v>
                </c:pt>
                <c:pt idx="14">
                  <c:v>11</c:v>
                </c:pt>
                <c:pt idx="15">
                  <c:v>62</c:v>
                </c:pt>
                <c:pt idx="16">
                  <c:v>40</c:v>
                </c:pt>
                <c:pt idx="17">
                  <c:v>56</c:v>
                </c:pt>
                <c:pt idx="18">
                  <c:v>20</c:v>
                </c:pt>
                <c:pt idx="19">
                  <c:v>40</c:v>
                </c:pt>
                <c:pt idx="20">
                  <c:v>38</c:v>
                </c:pt>
                <c:pt idx="21">
                  <c:v>42</c:v>
                </c:pt>
                <c:pt idx="22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C0-4AE7-99E4-0259073C5F2A}"/>
            </c:ext>
          </c:extLst>
        </c:ser>
        <c:ser>
          <c:idx val="6"/>
          <c:order val="6"/>
          <c:tx>
            <c:strRef>
              <c:f>엘오티베큠!$B$131</c:f>
              <c:strCache>
                <c:ptCount val="1"/>
                <c:pt idx="0">
                  <c:v> 운반비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엘오티베큠!$C$131:$Y$131</c:f>
              <c:numCache>
                <c:formatCode>#,##0_ ;[Red]\-#,##0\ </c:formatCode>
                <c:ptCount val="23"/>
                <c:pt idx="0">
                  <c:v>87</c:v>
                </c:pt>
                <c:pt idx="1">
                  <c:v>105</c:v>
                </c:pt>
                <c:pt idx="2">
                  <c:v>129</c:v>
                </c:pt>
                <c:pt idx="3">
                  <c:v>144</c:v>
                </c:pt>
                <c:pt idx="4">
                  <c:v>163</c:v>
                </c:pt>
                <c:pt idx="5">
                  <c:v>167</c:v>
                </c:pt>
                <c:pt idx="6">
                  <c:v>157</c:v>
                </c:pt>
                <c:pt idx="7">
                  <c:v>543</c:v>
                </c:pt>
                <c:pt idx="8">
                  <c:v>476</c:v>
                </c:pt>
                <c:pt idx="9">
                  <c:v>477</c:v>
                </c:pt>
                <c:pt idx="10">
                  <c:v>433</c:v>
                </c:pt>
                <c:pt idx="11">
                  <c:v>441</c:v>
                </c:pt>
                <c:pt idx="12">
                  <c:v>455</c:v>
                </c:pt>
                <c:pt idx="13">
                  <c:v>465</c:v>
                </c:pt>
                <c:pt idx="14">
                  <c:v>439</c:v>
                </c:pt>
                <c:pt idx="15">
                  <c:v>435</c:v>
                </c:pt>
                <c:pt idx="16">
                  <c:v>469</c:v>
                </c:pt>
                <c:pt idx="17">
                  <c:v>451</c:v>
                </c:pt>
                <c:pt idx="18">
                  <c:v>469</c:v>
                </c:pt>
                <c:pt idx="19">
                  <c:v>449</c:v>
                </c:pt>
                <c:pt idx="20">
                  <c:v>584</c:v>
                </c:pt>
                <c:pt idx="21">
                  <c:v>599</c:v>
                </c:pt>
                <c:pt idx="22">
                  <c:v>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C0-4AE7-99E4-0259073C5F2A}"/>
            </c:ext>
          </c:extLst>
        </c:ser>
        <c:ser>
          <c:idx val="7"/>
          <c:order val="7"/>
          <c:tx>
            <c:strRef>
              <c:f>엘오티베큠!$B$132</c:f>
              <c:strCache>
                <c:ptCount val="1"/>
                <c:pt idx="0">
                  <c:v> 무형자산상각비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엘오티베큠!$C$132:$Y$132</c:f>
              <c:numCache>
                <c:formatCode>#,##0_ ;[Red]\-#,##0\ </c:formatCode>
                <c:ptCount val="23"/>
                <c:pt idx="0">
                  <c:v>58</c:v>
                </c:pt>
                <c:pt idx="1">
                  <c:v>48</c:v>
                </c:pt>
                <c:pt idx="2">
                  <c:v>28</c:v>
                </c:pt>
                <c:pt idx="3">
                  <c:v>31</c:v>
                </c:pt>
                <c:pt idx="4">
                  <c:v>31</c:v>
                </c:pt>
                <c:pt idx="5">
                  <c:v>30</c:v>
                </c:pt>
                <c:pt idx="6">
                  <c:v>31</c:v>
                </c:pt>
                <c:pt idx="7">
                  <c:v>28</c:v>
                </c:pt>
                <c:pt idx="8">
                  <c:v>28</c:v>
                </c:pt>
                <c:pt idx="9">
                  <c:v>30</c:v>
                </c:pt>
                <c:pt idx="10">
                  <c:v>28</c:v>
                </c:pt>
                <c:pt idx="11">
                  <c:v>28</c:v>
                </c:pt>
                <c:pt idx="12">
                  <c:v>29</c:v>
                </c:pt>
                <c:pt idx="13">
                  <c:v>26</c:v>
                </c:pt>
                <c:pt idx="14">
                  <c:v>26</c:v>
                </c:pt>
                <c:pt idx="15">
                  <c:v>30</c:v>
                </c:pt>
                <c:pt idx="16">
                  <c:v>27</c:v>
                </c:pt>
                <c:pt idx="17">
                  <c:v>56</c:v>
                </c:pt>
                <c:pt idx="18">
                  <c:v>142</c:v>
                </c:pt>
                <c:pt idx="19">
                  <c:v>64</c:v>
                </c:pt>
                <c:pt idx="20">
                  <c:v>130</c:v>
                </c:pt>
                <c:pt idx="21">
                  <c:v>143</c:v>
                </c:pt>
                <c:pt idx="22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6C0-4AE7-99E4-0259073C5F2A}"/>
            </c:ext>
          </c:extLst>
        </c:ser>
        <c:ser>
          <c:idx val="8"/>
          <c:order val="8"/>
          <c:tx>
            <c:strRef>
              <c:f>엘오티베큠!$B$133</c:f>
              <c:strCache>
                <c:ptCount val="1"/>
                <c:pt idx="0">
                  <c:v> 감가상각비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엘오티베큠!$C$133:$Y$133</c:f>
              <c:numCache>
                <c:formatCode>#,##0_ ;[Red]\-#,##0\ </c:formatCode>
                <c:ptCount val="23"/>
                <c:pt idx="0">
                  <c:v>124</c:v>
                </c:pt>
                <c:pt idx="1">
                  <c:v>121</c:v>
                </c:pt>
                <c:pt idx="2">
                  <c:v>117</c:v>
                </c:pt>
                <c:pt idx="3">
                  <c:v>107</c:v>
                </c:pt>
                <c:pt idx="4">
                  <c:v>104</c:v>
                </c:pt>
                <c:pt idx="5">
                  <c:v>104</c:v>
                </c:pt>
                <c:pt idx="6">
                  <c:v>104</c:v>
                </c:pt>
                <c:pt idx="7">
                  <c:v>103</c:v>
                </c:pt>
                <c:pt idx="8">
                  <c:v>154</c:v>
                </c:pt>
                <c:pt idx="9">
                  <c:v>198</c:v>
                </c:pt>
                <c:pt idx="10">
                  <c:v>315</c:v>
                </c:pt>
                <c:pt idx="11">
                  <c:v>541</c:v>
                </c:pt>
                <c:pt idx="12">
                  <c:v>398</c:v>
                </c:pt>
                <c:pt idx="13">
                  <c:v>398</c:v>
                </c:pt>
                <c:pt idx="14">
                  <c:v>383</c:v>
                </c:pt>
                <c:pt idx="15">
                  <c:v>302</c:v>
                </c:pt>
                <c:pt idx="16">
                  <c:v>338</c:v>
                </c:pt>
                <c:pt idx="17">
                  <c:v>336</c:v>
                </c:pt>
                <c:pt idx="18">
                  <c:v>354</c:v>
                </c:pt>
                <c:pt idx="19">
                  <c:v>593</c:v>
                </c:pt>
                <c:pt idx="20">
                  <c:v>511</c:v>
                </c:pt>
                <c:pt idx="21">
                  <c:v>461</c:v>
                </c:pt>
                <c:pt idx="22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6C0-4AE7-99E4-0259073C5F2A}"/>
            </c:ext>
          </c:extLst>
        </c:ser>
        <c:ser>
          <c:idx val="9"/>
          <c:order val="9"/>
          <c:tx>
            <c:strRef>
              <c:f>엘오티베큠!$B$134</c:f>
              <c:strCache>
                <c:ptCount val="1"/>
                <c:pt idx="0">
                  <c:v> 수선비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엘오티베큠!$C$134:$Y$134</c:f>
              <c:numCache>
                <c:formatCode>#,##0_ ;[Red]\-#,##0\ </c:formatCode>
                <c:ptCount val="23"/>
                <c:pt idx="0">
                  <c:v>9</c:v>
                </c:pt>
                <c:pt idx="1">
                  <c:v>3</c:v>
                </c:pt>
                <c:pt idx="2">
                  <c:v>52</c:v>
                </c:pt>
                <c:pt idx="3">
                  <c:v>5</c:v>
                </c:pt>
                <c:pt idx="4">
                  <c:v>1</c:v>
                </c:pt>
                <c:pt idx="5">
                  <c:v>8</c:v>
                </c:pt>
                <c:pt idx="6">
                  <c:v>5</c:v>
                </c:pt>
                <c:pt idx="7">
                  <c:v>79</c:v>
                </c:pt>
                <c:pt idx="8">
                  <c:v>19</c:v>
                </c:pt>
                <c:pt idx="9">
                  <c:v>9</c:v>
                </c:pt>
                <c:pt idx="10">
                  <c:v>27</c:v>
                </c:pt>
                <c:pt idx="11">
                  <c:v>31</c:v>
                </c:pt>
                <c:pt idx="12">
                  <c:v>21</c:v>
                </c:pt>
                <c:pt idx="13">
                  <c:v>11</c:v>
                </c:pt>
                <c:pt idx="14">
                  <c:v>11</c:v>
                </c:pt>
                <c:pt idx="15">
                  <c:v>24</c:v>
                </c:pt>
                <c:pt idx="16">
                  <c:v>12</c:v>
                </c:pt>
                <c:pt idx="17">
                  <c:v>23</c:v>
                </c:pt>
                <c:pt idx="18">
                  <c:v>23</c:v>
                </c:pt>
                <c:pt idx="19">
                  <c:v>21</c:v>
                </c:pt>
                <c:pt idx="20">
                  <c:v>25</c:v>
                </c:pt>
                <c:pt idx="21">
                  <c:v>23</c:v>
                </c:pt>
                <c:pt idx="22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6C0-4AE7-99E4-0259073C5F2A}"/>
            </c:ext>
          </c:extLst>
        </c:ser>
        <c:ser>
          <c:idx val="10"/>
          <c:order val="10"/>
          <c:tx>
            <c:strRef>
              <c:f>엘오티베큠!$B$135</c:f>
              <c:strCache>
                <c:ptCount val="1"/>
                <c:pt idx="0">
                  <c:v> 소모품비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엘오티베큠!$C$135:$Y$135</c:f>
              <c:numCache>
                <c:formatCode>#,##0_ ;[Red]\-#,##0\ </c:formatCode>
                <c:ptCount val="23"/>
                <c:pt idx="0">
                  <c:v>78</c:v>
                </c:pt>
                <c:pt idx="1">
                  <c:v>85</c:v>
                </c:pt>
                <c:pt idx="2">
                  <c:v>243</c:v>
                </c:pt>
                <c:pt idx="3">
                  <c:v>390</c:v>
                </c:pt>
                <c:pt idx="4">
                  <c:v>125</c:v>
                </c:pt>
                <c:pt idx="5">
                  <c:v>107</c:v>
                </c:pt>
                <c:pt idx="6">
                  <c:v>111</c:v>
                </c:pt>
                <c:pt idx="7">
                  <c:v>185</c:v>
                </c:pt>
                <c:pt idx="8">
                  <c:v>153</c:v>
                </c:pt>
                <c:pt idx="9">
                  <c:v>428</c:v>
                </c:pt>
                <c:pt idx="10">
                  <c:v>270</c:v>
                </c:pt>
                <c:pt idx="11">
                  <c:v>163</c:v>
                </c:pt>
                <c:pt idx="12">
                  <c:v>158</c:v>
                </c:pt>
                <c:pt idx="13">
                  <c:v>125</c:v>
                </c:pt>
                <c:pt idx="14">
                  <c:v>113</c:v>
                </c:pt>
                <c:pt idx="15">
                  <c:v>125</c:v>
                </c:pt>
                <c:pt idx="16">
                  <c:v>151</c:v>
                </c:pt>
                <c:pt idx="17">
                  <c:v>138</c:v>
                </c:pt>
                <c:pt idx="18">
                  <c:v>134</c:v>
                </c:pt>
                <c:pt idx="19">
                  <c:v>127</c:v>
                </c:pt>
                <c:pt idx="20">
                  <c:v>659</c:v>
                </c:pt>
                <c:pt idx="21">
                  <c:v>165</c:v>
                </c:pt>
                <c:pt idx="22">
                  <c:v>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6C0-4AE7-99E4-0259073C5F2A}"/>
            </c:ext>
          </c:extLst>
        </c:ser>
        <c:ser>
          <c:idx val="11"/>
          <c:order val="11"/>
          <c:tx>
            <c:strRef>
              <c:f>엘오티베큠!$B$136</c:f>
              <c:strCache>
                <c:ptCount val="1"/>
                <c:pt idx="0">
                  <c:v> 세금과공과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엘오티베큠!$C$136:$Y$136</c:f>
              <c:numCache>
                <c:formatCode>#,##0_ ;[Red]\-#,##0\ </c:formatCode>
                <c:ptCount val="23"/>
                <c:pt idx="0">
                  <c:v>157</c:v>
                </c:pt>
                <c:pt idx="1">
                  <c:v>123</c:v>
                </c:pt>
                <c:pt idx="2">
                  <c:v>239</c:v>
                </c:pt>
                <c:pt idx="3">
                  <c:v>260</c:v>
                </c:pt>
                <c:pt idx="4">
                  <c:v>217</c:v>
                </c:pt>
                <c:pt idx="5">
                  <c:v>149</c:v>
                </c:pt>
                <c:pt idx="6">
                  <c:v>201</c:v>
                </c:pt>
                <c:pt idx="7">
                  <c:v>295</c:v>
                </c:pt>
                <c:pt idx="8">
                  <c:v>172</c:v>
                </c:pt>
                <c:pt idx="9">
                  <c:v>187</c:v>
                </c:pt>
                <c:pt idx="10">
                  <c:v>271</c:v>
                </c:pt>
                <c:pt idx="11">
                  <c:v>364</c:v>
                </c:pt>
                <c:pt idx="12">
                  <c:v>237</c:v>
                </c:pt>
                <c:pt idx="13">
                  <c:v>195</c:v>
                </c:pt>
                <c:pt idx="14">
                  <c:v>332</c:v>
                </c:pt>
                <c:pt idx="15">
                  <c:v>723</c:v>
                </c:pt>
                <c:pt idx="16">
                  <c:v>269</c:v>
                </c:pt>
                <c:pt idx="17">
                  <c:v>361</c:v>
                </c:pt>
                <c:pt idx="18">
                  <c:v>325</c:v>
                </c:pt>
                <c:pt idx="19">
                  <c:v>348</c:v>
                </c:pt>
                <c:pt idx="20">
                  <c:v>499</c:v>
                </c:pt>
                <c:pt idx="21">
                  <c:v>474</c:v>
                </c:pt>
                <c:pt idx="22">
                  <c:v>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6C0-4AE7-99E4-0259073C5F2A}"/>
            </c:ext>
          </c:extLst>
        </c:ser>
        <c:ser>
          <c:idx val="12"/>
          <c:order val="12"/>
          <c:tx>
            <c:strRef>
              <c:f>엘오티베큠!$B$137</c:f>
              <c:strCache>
                <c:ptCount val="1"/>
                <c:pt idx="0">
                  <c:v> 보험료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엘오티베큠!$C$137:$Y$137</c:f>
              <c:numCache>
                <c:formatCode>#,##0_ ;[Red]\-#,##0\ </c:formatCode>
                <c:ptCount val="23"/>
                <c:pt idx="0">
                  <c:v>46</c:v>
                </c:pt>
                <c:pt idx="1">
                  <c:v>71</c:v>
                </c:pt>
                <c:pt idx="2">
                  <c:v>51</c:v>
                </c:pt>
                <c:pt idx="3">
                  <c:v>56</c:v>
                </c:pt>
                <c:pt idx="4">
                  <c:v>61</c:v>
                </c:pt>
                <c:pt idx="5">
                  <c:v>98</c:v>
                </c:pt>
                <c:pt idx="6">
                  <c:v>84</c:v>
                </c:pt>
                <c:pt idx="7">
                  <c:v>82</c:v>
                </c:pt>
                <c:pt idx="8">
                  <c:v>64</c:v>
                </c:pt>
                <c:pt idx="9">
                  <c:v>104</c:v>
                </c:pt>
                <c:pt idx="10">
                  <c:v>82</c:v>
                </c:pt>
                <c:pt idx="11">
                  <c:v>68</c:v>
                </c:pt>
                <c:pt idx="12">
                  <c:v>82</c:v>
                </c:pt>
                <c:pt idx="13">
                  <c:v>99</c:v>
                </c:pt>
                <c:pt idx="14">
                  <c:v>84</c:v>
                </c:pt>
                <c:pt idx="15">
                  <c:v>80</c:v>
                </c:pt>
                <c:pt idx="16">
                  <c:v>74</c:v>
                </c:pt>
                <c:pt idx="17">
                  <c:v>74</c:v>
                </c:pt>
                <c:pt idx="18">
                  <c:v>84</c:v>
                </c:pt>
                <c:pt idx="19">
                  <c:v>99</c:v>
                </c:pt>
                <c:pt idx="20">
                  <c:v>95</c:v>
                </c:pt>
                <c:pt idx="21">
                  <c:v>118</c:v>
                </c:pt>
                <c:pt idx="22">
                  <c:v>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6C0-4AE7-99E4-0259073C5F2A}"/>
            </c:ext>
          </c:extLst>
        </c:ser>
        <c:ser>
          <c:idx val="13"/>
          <c:order val="13"/>
          <c:tx>
            <c:strRef>
              <c:f>엘오티베큠!$B$138</c:f>
              <c:strCache>
                <c:ptCount val="1"/>
                <c:pt idx="0">
                  <c:v> 여비교통비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엘오티베큠!$C$138:$Y$138</c:f>
              <c:numCache>
                <c:formatCode>#,##0_ ;[Red]\-#,##0\ </c:formatCode>
                <c:ptCount val="23"/>
                <c:pt idx="0">
                  <c:v>103</c:v>
                </c:pt>
                <c:pt idx="1">
                  <c:v>164</c:v>
                </c:pt>
                <c:pt idx="2">
                  <c:v>92</c:v>
                </c:pt>
                <c:pt idx="3">
                  <c:v>67</c:v>
                </c:pt>
                <c:pt idx="4">
                  <c:v>88</c:v>
                </c:pt>
                <c:pt idx="5">
                  <c:v>112</c:v>
                </c:pt>
                <c:pt idx="6">
                  <c:v>183</c:v>
                </c:pt>
                <c:pt idx="7">
                  <c:v>147</c:v>
                </c:pt>
                <c:pt idx="8">
                  <c:v>162</c:v>
                </c:pt>
                <c:pt idx="9">
                  <c:v>195</c:v>
                </c:pt>
                <c:pt idx="10">
                  <c:v>167</c:v>
                </c:pt>
                <c:pt idx="11">
                  <c:v>136</c:v>
                </c:pt>
                <c:pt idx="12">
                  <c:v>100</c:v>
                </c:pt>
                <c:pt idx="13">
                  <c:v>60</c:v>
                </c:pt>
                <c:pt idx="14">
                  <c:v>84</c:v>
                </c:pt>
                <c:pt idx="15">
                  <c:v>91</c:v>
                </c:pt>
                <c:pt idx="16">
                  <c:v>86</c:v>
                </c:pt>
                <c:pt idx="17">
                  <c:v>82</c:v>
                </c:pt>
                <c:pt idx="18">
                  <c:v>98</c:v>
                </c:pt>
                <c:pt idx="19">
                  <c:v>41</c:v>
                </c:pt>
                <c:pt idx="20">
                  <c:v>54</c:v>
                </c:pt>
                <c:pt idx="21">
                  <c:v>89</c:v>
                </c:pt>
                <c:pt idx="22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6C0-4AE7-99E4-0259073C5F2A}"/>
            </c:ext>
          </c:extLst>
        </c:ser>
        <c:ser>
          <c:idx val="14"/>
          <c:order val="14"/>
          <c:tx>
            <c:strRef>
              <c:f>엘오티베큠!$B$139</c:f>
              <c:strCache>
                <c:ptCount val="1"/>
                <c:pt idx="0">
                  <c:v> 통신비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엘오티베큠!$C$139:$Y$139</c:f>
              <c:numCache>
                <c:formatCode>#,##0_ ;[Red]\-#,##0\ </c:formatCode>
                <c:ptCount val="23"/>
                <c:pt idx="0">
                  <c:v>31</c:v>
                </c:pt>
                <c:pt idx="1">
                  <c:v>32</c:v>
                </c:pt>
                <c:pt idx="2">
                  <c:v>30</c:v>
                </c:pt>
                <c:pt idx="3">
                  <c:v>28</c:v>
                </c:pt>
                <c:pt idx="4">
                  <c:v>27</c:v>
                </c:pt>
                <c:pt idx="5">
                  <c:v>28</c:v>
                </c:pt>
                <c:pt idx="6">
                  <c:v>28</c:v>
                </c:pt>
                <c:pt idx="7">
                  <c:v>27</c:v>
                </c:pt>
                <c:pt idx="8">
                  <c:v>27</c:v>
                </c:pt>
                <c:pt idx="9">
                  <c:v>27</c:v>
                </c:pt>
                <c:pt idx="10">
                  <c:v>26</c:v>
                </c:pt>
                <c:pt idx="11">
                  <c:v>24</c:v>
                </c:pt>
                <c:pt idx="12">
                  <c:v>20</c:v>
                </c:pt>
                <c:pt idx="13">
                  <c:v>17</c:v>
                </c:pt>
                <c:pt idx="14">
                  <c:v>16</c:v>
                </c:pt>
                <c:pt idx="15">
                  <c:v>14</c:v>
                </c:pt>
                <c:pt idx="16">
                  <c:v>14</c:v>
                </c:pt>
                <c:pt idx="17">
                  <c:v>15</c:v>
                </c:pt>
                <c:pt idx="18">
                  <c:v>14</c:v>
                </c:pt>
                <c:pt idx="19">
                  <c:v>19</c:v>
                </c:pt>
                <c:pt idx="20">
                  <c:v>21</c:v>
                </c:pt>
                <c:pt idx="21">
                  <c:v>19</c:v>
                </c:pt>
                <c:pt idx="22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6C0-4AE7-99E4-0259073C5F2A}"/>
            </c:ext>
          </c:extLst>
        </c:ser>
        <c:ser>
          <c:idx val="15"/>
          <c:order val="15"/>
          <c:tx>
            <c:strRef>
              <c:f>엘오티베큠!$B$140</c:f>
              <c:strCache>
                <c:ptCount val="1"/>
                <c:pt idx="0">
                  <c:v> 차량유지비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엘오티베큠!$C$140:$Y$140</c:f>
              <c:numCache>
                <c:formatCode>#,##0_ ;[Red]\-#,##0\ </c:formatCode>
                <c:ptCount val="23"/>
                <c:pt idx="0">
                  <c:v>50</c:v>
                </c:pt>
                <c:pt idx="1">
                  <c:v>53</c:v>
                </c:pt>
                <c:pt idx="2">
                  <c:v>58</c:v>
                </c:pt>
                <c:pt idx="3">
                  <c:v>46</c:v>
                </c:pt>
                <c:pt idx="4">
                  <c:v>53</c:v>
                </c:pt>
                <c:pt idx="5">
                  <c:v>64</c:v>
                </c:pt>
                <c:pt idx="6">
                  <c:v>64</c:v>
                </c:pt>
                <c:pt idx="7">
                  <c:v>52</c:v>
                </c:pt>
                <c:pt idx="8">
                  <c:v>47</c:v>
                </c:pt>
                <c:pt idx="9">
                  <c:v>49</c:v>
                </c:pt>
                <c:pt idx="10">
                  <c:v>51</c:v>
                </c:pt>
                <c:pt idx="11">
                  <c:v>55</c:v>
                </c:pt>
                <c:pt idx="12">
                  <c:v>48</c:v>
                </c:pt>
                <c:pt idx="13">
                  <c:v>43</c:v>
                </c:pt>
                <c:pt idx="14">
                  <c:v>42</c:v>
                </c:pt>
                <c:pt idx="15">
                  <c:v>44</c:v>
                </c:pt>
                <c:pt idx="16">
                  <c:v>44</c:v>
                </c:pt>
                <c:pt idx="17">
                  <c:v>47</c:v>
                </c:pt>
                <c:pt idx="18">
                  <c:v>47</c:v>
                </c:pt>
                <c:pt idx="19">
                  <c:v>66</c:v>
                </c:pt>
                <c:pt idx="20">
                  <c:v>71</c:v>
                </c:pt>
                <c:pt idx="21">
                  <c:v>96</c:v>
                </c:pt>
                <c:pt idx="22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6C0-4AE7-99E4-0259073C5F2A}"/>
            </c:ext>
          </c:extLst>
        </c:ser>
        <c:ser>
          <c:idx val="16"/>
          <c:order val="16"/>
          <c:tx>
            <c:strRef>
              <c:f>엘오티베큠!$B$141</c:f>
              <c:strCache>
                <c:ptCount val="1"/>
                <c:pt idx="0">
                  <c:v> 교육훈련비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엘오티베큠!$C$141:$Y$141</c:f>
              <c:numCache>
                <c:formatCode>#,##0_ ;[Red]\-#,##0\ </c:formatCode>
                <c:ptCount val="23"/>
                <c:pt idx="0">
                  <c:v>15</c:v>
                </c:pt>
                <c:pt idx="1">
                  <c:v>2</c:v>
                </c:pt>
                <c:pt idx="2">
                  <c:v>13</c:v>
                </c:pt>
                <c:pt idx="3">
                  <c:v>3</c:v>
                </c:pt>
                <c:pt idx="4">
                  <c:v>4</c:v>
                </c:pt>
                <c:pt idx="5">
                  <c:v>2</c:v>
                </c:pt>
                <c:pt idx="6">
                  <c:v>8</c:v>
                </c:pt>
                <c:pt idx="7">
                  <c:v>9</c:v>
                </c:pt>
                <c:pt idx="8">
                  <c:v>11</c:v>
                </c:pt>
                <c:pt idx="9">
                  <c:v>11</c:v>
                </c:pt>
                <c:pt idx="10">
                  <c:v>3</c:v>
                </c:pt>
                <c:pt idx="11">
                  <c:v>48</c:v>
                </c:pt>
                <c:pt idx="12">
                  <c:v>8</c:v>
                </c:pt>
                <c:pt idx="13">
                  <c:v>11</c:v>
                </c:pt>
                <c:pt idx="14">
                  <c:v>8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10</c:v>
                </c:pt>
                <c:pt idx="19">
                  <c:v>23</c:v>
                </c:pt>
                <c:pt idx="20">
                  <c:v>17</c:v>
                </c:pt>
                <c:pt idx="21">
                  <c:v>17</c:v>
                </c:pt>
                <c:pt idx="2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6C0-4AE7-99E4-0259073C5F2A}"/>
            </c:ext>
          </c:extLst>
        </c:ser>
        <c:ser>
          <c:idx val="17"/>
          <c:order val="17"/>
          <c:tx>
            <c:strRef>
              <c:f>엘오티베큠!$B$142</c:f>
              <c:strCache>
                <c:ptCount val="1"/>
                <c:pt idx="0">
                  <c:v> 도서인쇄비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엘오티베큠!$C$142:$Y$142</c:f>
              <c:numCache>
                <c:formatCode>#,##0_ ;[Red]\-#,##0\ </c:formatCode>
                <c:ptCount val="23"/>
                <c:pt idx="0">
                  <c:v>8</c:v>
                </c:pt>
                <c:pt idx="1">
                  <c:v>2</c:v>
                </c:pt>
                <c:pt idx="2">
                  <c:v>2</c:v>
                </c:pt>
                <c:pt idx="3">
                  <c:v>27</c:v>
                </c:pt>
                <c:pt idx="4">
                  <c:v>4</c:v>
                </c:pt>
                <c:pt idx="5">
                  <c:v>10</c:v>
                </c:pt>
                <c:pt idx="6">
                  <c:v>4</c:v>
                </c:pt>
                <c:pt idx="7">
                  <c:v>9</c:v>
                </c:pt>
                <c:pt idx="8">
                  <c:v>13</c:v>
                </c:pt>
                <c:pt idx="9">
                  <c:v>22</c:v>
                </c:pt>
                <c:pt idx="10">
                  <c:v>5</c:v>
                </c:pt>
                <c:pt idx="11">
                  <c:v>5</c:v>
                </c:pt>
                <c:pt idx="12">
                  <c:v>4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8</c:v>
                </c:pt>
                <c:pt idx="19">
                  <c:v>3</c:v>
                </c:pt>
                <c:pt idx="20">
                  <c:v>4</c:v>
                </c:pt>
                <c:pt idx="21">
                  <c:v>11</c:v>
                </c:pt>
                <c:pt idx="2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6C0-4AE7-99E4-0259073C5F2A}"/>
            </c:ext>
          </c:extLst>
        </c:ser>
        <c:ser>
          <c:idx val="18"/>
          <c:order val="18"/>
          <c:tx>
            <c:strRef>
              <c:f>엘오티베큠!$B$143</c:f>
              <c:strCache>
                <c:ptCount val="1"/>
                <c:pt idx="0">
                  <c:v> 지급수수료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엘오티베큠!$C$143:$Y$143</c:f>
              <c:numCache>
                <c:formatCode>#,##0_ ;[Red]\-#,##0\ </c:formatCode>
                <c:ptCount val="23"/>
                <c:pt idx="0">
                  <c:v>388</c:v>
                </c:pt>
                <c:pt idx="1">
                  <c:v>457</c:v>
                </c:pt>
                <c:pt idx="2">
                  <c:v>381</c:v>
                </c:pt>
                <c:pt idx="3">
                  <c:v>455</c:v>
                </c:pt>
                <c:pt idx="4">
                  <c:v>441</c:v>
                </c:pt>
                <c:pt idx="5">
                  <c:v>547</c:v>
                </c:pt>
                <c:pt idx="6">
                  <c:v>775</c:v>
                </c:pt>
                <c:pt idx="7">
                  <c:v>1015</c:v>
                </c:pt>
                <c:pt idx="8">
                  <c:v>440</c:v>
                </c:pt>
                <c:pt idx="9">
                  <c:v>906</c:v>
                </c:pt>
                <c:pt idx="10">
                  <c:v>824</c:v>
                </c:pt>
                <c:pt idx="11">
                  <c:v>842</c:v>
                </c:pt>
                <c:pt idx="12">
                  <c:v>878</c:v>
                </c:pt>
                <c:pt idx="13">
                  <c:v>585</c:v>
                </c:pt>
                <c:pt idx="14">
                  <c:v>725</c:v>
                </c:pt>
                <c:pt idx="15">
                  <c:v>572</c:v>
                </c:pt>
                <c:pt idx="16">
                  <c:v>929</c:v>
                </c:pt>
                <c:pt idx="17">
                  <c:v>919</c:v>
                </c:pt>
                <c:pt idx="18">
                  <c:v>1211</c:v>
                </c:pt>
                <c:pt idx="19">
                  <c:v>2031</c:v>
                </c:pt>
                <c:pt idx="20">
                  <c:v>1748</c:v>
                </c:pt>
                <c:pt idx="21">
                  <c:v>2025</c:v>
                </c:pt>
                <c:pt idx="22">
                  <c:v>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6C0-4AE7-99E4-0259073C5F2A}"/>
            </c:ext>
          </c:extLst>
        </c:ser>
        <c:ser>
          <c:idx val="19"/>
          <c:order val="19"/>
          <c:tx>
            <c:strRef>
              <c:f>엘오티베큠!$B$144</c:f>
              <c:strCache>
                <c:ptCount val="1"/>
                <c:pt idx="0">
                  <c:v> 경상연구개발비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엘오티베큠!$C$144:$Y$144</c:f>
              <c:numCache>
                <c:formatCode>#,##0_ ;[Red]\-#,##0\ </c:formatCode>
                <c:ptCount val="23"/>
                <c:pt idx="0">
                  <c:v>1632</c:v>
                </c:pt>
                <c:pt idx="1">
                  <c:v>1856</c:v>
                </c:pt>
                <c:pt idx="2">
                  <c:v>2376</c:v>
                </c:pt>
                <c:pt idx="3">
                  <c:v>2365</c:v>
                </c:pt>
                <c:pt idx="4">
                  <c:v>2975</c:v>
                </c:pt>
                <c:pt idx="5">
                  <c:v>1556</c:v>
                </c:pt>
                <c:pt idx="6">
                  <c:v>2186</c:v>
                </c:pt>
                <c:pt idx="7">
                  <c:v>2198</c:v>
                </c:pt>
                <c:pt idx="8">
                  <c:v>2133</c:v>
                </c:pt>
                <c:pt idx="9">
                  <c:v>2325</c:v>
                </c:pt>
                <c:pt idx="10">
                  <c:v>2277</c:v>
                </c:pt>
                <c:pt idx="11">
                  <c:v>2820</c:v>
                </c:pt>
                <c:pt idx="12">
                  <c:v>2287</c:v>
                </c:pt>
                <c:pt idx="13">
                  <c:v>2848</c:v>
                </c:pt>
                <c:pt idx="14">
                  <c:v>2809</c:v>
                </c:pt>
                <c:pt idx="15">
                  <c:v>2622</c:v>
                </c:pt>
                <c:pt idx="16">
                  <c:v>2471</c:v>
                </c:pt>
                <c:pt idx="17">
                  <c:v>2382</c:v>
                </c:pt>
                <c:pt idx="18">
                  <c:v>2283</c:v>
                </c:pt>
                <c:pt idx="19">
                  <c:v>3922</c:v>
                </c:pt>
                <c:pt idx="20">
                  <c:v>3057</c:v>
                </c:pt>
                <c:pt idx="21">
                  <c:v>3536</c:v>
                </c:pt>
                <c:pt idx="22">
                  <c:v>3397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6C0-4AE7-99E4-0259073C5F2A}"/>
            </c:ext>
          </c:extLst>
        </c:ser>
        <c:ser>
          <c:idx val="20"/>
          <c:order val="20"/>
          <c:tx>
            <c:strRef>
              <c:f>엘오티베큠!$B$145</c:f>
              <c:strCache>
                <c:ptCount val="1"/>
                <c:pt idx="0">
                  <c:v> 대손상각비(환입액)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엘오티베큠!$C$145:$Y$145</c:f>
              <c:numCache>
                <c:formatCode>#,##0_ ;[Red]\-#,##0\ </c:formatCode>
                <c:ptCount val="23"/>
                <c:pt idx="0">
                  <c:v>-68</c:v>
                </c:pt>
                <c:pt idx="1">
                  <c:v>10</c:v>
                </c:pt>
                <c:pt idx="2">
                  <c:v>61</c:v>
                </c:pt>
                <c:pt idx="3">
                  <c:v>-154</c:v>
                </c:pt>
                <c:pt idx="4">
                  <c:v>19</c:v>
                </c:pt>
                <c:pt idx="5">
                  <c:v>1</c:v>
                </c:pt>
                <c:pt idx="6">
                  <c:v>41</c:v>
                </c:pt>
                <c:pt idx="7">
                  <c:v>48</c:v>
                </c:pt>
                <c:pt idx="8">
                  <c:v>-49</c:v>
                </c:pt>
                <c:pt idx="9">
                  <c:v>-4</c:v>
                </c:pt>
                <c:pt idx="10">
                  <c:v>21</c:v>
                </c:pt>
                <c:pt idx="11">
                  <c:v>639</c:v>
                </c:pt>
                <c:pt idx="12">
                  <c:v>144</c:v>
                </c:pt>
                <c:pt idx="13">
                  <c:v>561</c:v>
                </c:pt>
                <c:pt idx="14">
                  <c:v>142</c:v>
                </c:pt>
                <c:pt idx="15">
                  <c:v>293</c:v>
                </c:pt>
                <c:pt idx="16">
                  <c:v>86</c:v>
                </c:pt>
                <c:pt idx="17">
                  <c:v>985</c:v>
                </c:pt>
                <c:pt idx="18">
                  <c:v>-450</c:v>
                </c:pt>
                <c:pt idx="19">
                  <c:v>-643</c:v>
                </c:pt>
                <c:pt idx="20">
                  <c:v>205</c:v>
                </c:pt>
                <c:pt idx="21">
                  <c:v>849</c:v>
                </c:pt>
                <c:pt idx="2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6C0-4AE7-99E4-0259073C5F2A}"/>
            </c:ext>
          </c:extLst>
        </c:ser>
        <c:ser>
          <c:idx val="21"/>
          <c:order val="21"/>
          <c:tx>
            <c:strRef>
              <c:f>엘오티베큠!$B$146</c:f>
              <c:strCache>
                <c:ptCount val="1"/>
                <c:pt idx="0">
                  <c:v> 제품보증비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엘오티베큠!$C$146:$Y$146</c:f>
              <c:numCache>
                <c:formatCode>#,##0_ ;[Red]\-#,##0\ </c:formatCode>
                <c:ptCount val="23"/>
                <c:pt idx="0">
                  <c:v>1943</c:v>
                </c:pt>
                <c:pt idx="1">
                  <c:v>2571</c:v>
                </c:pt>
                <c:pt idx="2">
                  <c:v>1258</c:v>
                </c:pt>
                <c:pt idx="3">
                  <c:v>1892</c:v>
                </c:pt>
                <c:pt idx="4">
                  <c:v>1949</c:v>
                </c:pt>
                <c:pt idx="5">
                  <c:v>2618</c:v>
                </c:pt>
                <c:pt idx="6">
                  <c:v>1093</c:v>
                </c:pt>
                <c:pt idx="7">
                  <c:v>1117</c:v>
                </c:pt>
                <c:pt idx="8">
                  <c:v>1685</c:v>
                </c:pt>
                <c:pt idx="9">
                  <c:v>1129</c:v>
                </c:pt>
                <c:pt idx="10">
                  <c:v>1437</c:v>
                </c:pt>
                <c:pt idx="11">
                  <c:v>1258</c:v>
                </c:pt>
                <c:pt idx="12">
                  <c:v>1771</c:v>
                </c:pt>
                <c:pt idx="13">
                  <c:v>1102</c:v>
                </c:pt>
                <c:pt idx="14">
                  <c:v>2183</c:v>
                </c:pt>
                <c:pt idx="15">
                  <c:v>3893</c:v>
                </c:pt>
                <c:pt idx="16">
                  <c:v>3353</c:v>
                </c:pt>
                <c:pt idx="17">
                  <c:v>1962</c:v>
                </c:pt>
                <c:pt idx="18">
                  <c:v>5422</c:v>
                </c:pt>
                <c:pt idx="19">
                  <c:v>4262</c:v>
                </c:pt>
                <c:pt idx="20">
                  <c:v>5080</c:v>
                </c:pt>
                <c:pt idx="21">
                  <c:v>8771</c:v>
                </c:pt>
                <c:pt idx="22">
                  <c:v>7583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6C0-4AE7-99E4-0259073C5F2A}"/>
            </c:ext>
          </c:extLst>
        </c:ser>
        <c:ser>
          <c:idx val="22"/>
          <c:order val="22"/>
          <c:tx>
            <c:strRef>
              <c:f>엘오티베큠!$B$147</c:f>
              <c:strCache>
                <c:ptCount val="1"/>
                <c:pt idx="0">
                  <c:v> 접대비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엘오티베큠!$C$147:$Y$147</c:f>
              <c:numCache>
                <c:formatCode>#,##0_ ;[Red]\-#,##0\ </c:formatCode>
                <c:ptCount val="23"/>
                <c:pt idx="0">
                  <c:v>36</c:v>
                </c:pt>
                <c:pt idx="1">
                  <c:v>49</c:v>
                </c:pt>
                <c:pt idx="2">
                  <c:v>52</c:v>
                </c:pt>
                <c:pt idx="3">
                  <c:v>91</c:v>
                </c:pt>
                <c:pt idx="4">
                  <c:v>58</c:v>
                </c:pt>
                <c:pt idx="5">
                  <c:v>80</c:v>
                </c:pt>
                <c:pt idx="6">
                  <c:v>75</c:v>
                </c:pt>
                <c:pt idx="7">
                  <c:v>97</c:v>
                </c:pt>
                <c:pt idx="8">
                  <c:v>66</c:v>
                </c:pt>
                <c:pt idx="9">
                  <c:v>111</c:v>
                </c:pt>
                <c:pt idx="10">
                  <c:v>60</c:v>
                </c:pt>
                <c:pt idx="11">
                  <c:v>46</c:v>
                </c:pt>
                <c:pt idx="12">
                  <c:v>45</c:v>
                </c:pt>
                <c:pt idx="13">
                  <c:v>57</c:v>
                </c:pt>
                <c:pt idx="14">
                  <c:v>67</c:v>
                </c:pt>
                <c:pt idx="15">
                  <c:v>73</c:v>
                </c:pt>
                <c:pt idx="16">
                  <c:v>64</c:v>
                </c:pt>
                <c:pt idx="17">
                  <c:v>70</c:v>
                </c:pt>
                <c:pt idx="18">
                  <c:v>80</c:v>
                </c:pt>
                <c:pt idx="19">
                  <c:v>147</c:v>
                </c:pt>
                <c:pt idx="20">
                  <c:v>109</c:v>
                </c:pt>
                <c:pt idx="21">
                  <c:v>113</c:v>
                </c:pt>
                <c:pt idx="22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56C0-4AE7-99E4-0259073C5F2A}"/>
            </c:ext>
          </c:extLst>
        </c:ser>
        <c:ser>
          <c:idx val="23"/>
          <c:order val="23"/>
          <c:tx>
            <c:strRef>
              <c:f>엘오티베큠!$B$148</c:f>
              <c:strCache>
                <c:ptCount val="1"/>
                <c:pt idx="0">
                  <c:v> 회의비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엘오티베큠!$C$148:$Y$148</c:f>
              <c:numCache>
                <c:formatCode>#,##0_ ;[Red]\-#,##0\ </c:formatCode>
                <c:ptCount val="23"/>
                <c:pt idx="0">
                  <c:v>7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2</c:v>
                </c:pt>
                <c:pt idx="7">
                  <c:v>0</c:v>
                </c:pt>
                <c:pt idx="8">
                  <c:v>11</c:v>
                </c:pt>
                <c:pt idx="9">
                  <c:v>2</c:v>
                </c:pt>
                <c:pt idx="11">
                  <c:v>6</c:v>
                </c:pt>
                <c:pt idx="15">
                  <c:v>0</c:v>
                </c:pt>
                <c:pt idx="19">
                  <c:v>0</c:v>
                </c:pt>
                <c:pt idx="20">
                  <c:v>3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6C0-4AE7-99E4-0259073C5F2A}"/>
            </c:ext>
          </c:extLst>
        </c:ser>
        <c:ser>
          <c:idx val="24"/>
          <c:order val="24"/>
          <c:tx>
            <c:strRef>
              <c:f>엘오티베큠!$B$149</c:f>
              <c:strCache>
                <c:ptCount val="1"/>
                <c:pt idx="0">
                  <c:v> 광고선전비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엘오티베큠!$C$149:$Y$149</c:f>
              <c:numCache>
                <c:formatCode>#,##0_ ;[Red]\-#,##0\ </c:formatCode>
                <c:ptCount val="23"/>
                <c:pt idx="0">
                  <c:v>92</c:v>
                </c:pt>
                <c:pt idx="1">
                  <c:v>11</c:v>
                </c:pt>
                <c:pt idx="2">
                  <c:v>12</c:v>
                </c:pt>
                <c:pt idx="3">
                  <c:v>6</c:v>
                </c:pt>
                <c:pt idx="4">
                  <c:v>114</c:v>
                </c:pt>
                <c:pt idx="5">
                  <c:v>10</c:v>
                </c:pt>
                <c:pt idx="6">
                  <c:v>5</c:v>
                </c:pt>
                <c:pt idx="7">
                  <c:v>39</c:v>
                </c:pt>
                <c:pt idx="8">
                  <c:v>113</c:v>
                </c:pt>
                <c:pt idx="9">
                  <c:v>22</c:v>
                </c:pt>
                <c:pt idx="10">
                  <c:v>20</c:v>
                </c:pt>
                <c:pt idx="11">
                  <c:v>40</c:v>
                </c:pt>
                <c:pt idx="12">
                  <c:v>61</c:v>
                </c:pt>
                <c:pt idx="13">
                  <c:v>2</c:v>
                </c:pt>
                <c:pt idx="14">
                  <c:v>1</c:v>
                </c:pt>
                <c:pt idx="15">
                  <c:v>3</c:v>
                </c:pt>
                <c:pt idx="16">
                  <c:v>12</c:v>
                </c:pt>
                <c:pt idx="17">
                  <c:v>5</c:v>
                </c:pt>
                <c:pt idx="18">
                  <c:v>1</c:v>
                </c:pt>
                <c:pt idx="19">
                  <c:v>20</c:v>
                </c:pt>
                <c:pt idx="20">
                  <c:v>31</c:v>
                </c:pt>
                <c:pt idx="21">
                  <c:v>21</c:v>
                </c:pt>
                <c:pt idx="22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56C0-4AE7-99E4-0259073C5F2A}"/>
            </c:ext>
          </c:extLst>
        </c:ser>
        <c:ser>
          <c:idx val="25"/>
          <c:order val="25"/>
          <c:tx>
            <c:strRef>
              <c:f>엘오티베큠!$B$150</c:f>
              <c:strCache>
                <c:ptCount val="1"/>
                <c:pt idx="0">
                  <c:v> 주식보상비용(*1) 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엘오티베큠!$C$150:$Y$150</c:f>
              <c:numCache>
                <c:formatCode>#,##0_ ;[Red]\-#,##0\ </c:formatCode>
                <c:ptCount val="23"/>
                <c:pt idx="3">
                  <c:v>0</c:v>
                </c:pt>
                <c:pt idx="4">
                  <c:v>14</c:v>
                </c:pt>
                <c:pt idx="5">
                  <c:v>466</c:v>
                </c:pt>
                <c:pt idx="6">
                  <c:v>464</c:v>
                </c:pt>
                <c:pt idx="7">
                  <c:v>396</c:v>
                </c:pt>
                <c:pt idx="8">
                  <c:v>443</c:v>
                </c:pt>
                <c:pt idx="9">
                  <c:v>448</c:v>
                </c:pt>
                <c:pt idx="10">
                  <c:v>493</c:v>
                </c:pt>
                <c:pt idx="11">
                  <c:v>76</c:v>
                </c:pt>
                <c:pt idx="12">
                  <c:v>380</c:v>
                </c:pt>
                <c:pt idx="13">
                  <c:v>4</c:v>
                </c:pt>
                <c:pt idx="15">
                  <c:v>739</c:v>
                </c:pt>
                <c:pt idx="16">
                  <c:v>376</c:v>
                </c:pt>
                <c:pt idx="17">
                  <c:v>7430</c:v>
                </c:pt>
                <c:pt idx="19">
                  <c:v>872</c:v>
                </c:pt>
                <c:pt idx="20">
                  <c:v>412</c:v>
                </c:pt>
                <c:pt idx="2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56C0-4AE7-99E4-0259073C5F2A}"/>
            </c:ext>
          </c:extLst>
        </c:ser>
        <c:ser>
          <c:idx val="26"/>
          <c:order val="26"/>
          <c:tx>
            <c:strRef>
              <c:f>엘오티베큠!$B$151</c:f>
              <c:strCache>
                <c:ptCount val="1"/>
                <c:pt idx="0">
                  <c:v> 수출제비용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엘오티베큠!$C$151:$Y$151</c:f>
              <c:numCache>
                <c:formatCode>#,##0_ ;[Red]\-#,##0\ </c:formatCode>
                <c:ptCount val="23"/>
                <c:pt idx="0">
                  <c:v>115</c:v>
                </c:pt>
                <c:pt idx="1">
                  <c:v>184</c:v>
                </c:pt>
                <c:pt idx="2">
                  <c:v>128</c:v>
                </c:pt>
                <c:pt idx="3">
                  <c:v>64</c:v>
                </c:pt>
                <c:pt idx="4">
                  <c:v>149</c:v>
                </c:pt>
                <c:pt idx="5">
                  <c:v>357</c:v>
                </c:pt>
                <c:pt idx="6">
                  <c:v>166</c:v>
                </c:pt>
                <c:pt idx="7">
                  <c:v>216</c:v>
                </c:pt>
                <c:pt idx="8">
                  <c:v>695</c:v>
                </c:pt>
                <c:pt idx="9">
                  <c:v>193</c:v>
                </c:pt>
                <c:pt idx="10">
                  <c:v>453</c:v>
                </c:pt>
                <c:pt idx="11">
                  <c:v>353</c:v>
                </c:pt>
                <c:pt idx="12">
                  <c:v>345</c:v>
                </c:pt>
                <c:pt idx="13">
                  <c:v>255</c:v>
                </c:pt>
                <c:pt idx="14">
                  <c:v>215</c:v>
                </c:pt>
                <c:pt idx="15">
                  <c:v>913</c:v>
                </c:pt>
                <c:pt idx="16">
                  <c:v>2168</c:v>
                </c:pt>
                <c:pt idx="17">
                  <c:v>5</c:v>
                </c:pt>
                <c:pt idx="18">
                  <c:v>505</c:v>
                </c:pt>
                <c:pt idx="19">
                  <c:v>-504</c:v>
                </c:pt>
                <c:pt idx="22">
                  <c:v>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6C0-4AE7-99E4-0259073C5F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890274448"/>
        <c:axId val="890272368"/>
      </c:barChart>
      <c:lineChart>
        <c:grouping val="standard"/>
        <c:varyColors val="0"/>
        <c:ser>
          <c:idx val="27"/>
          <c:order val="27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  <a:lumOff val="40000"/>
                </a:schemeClr>
              </a:solidFill>
              <a:ln w="9525">
                <a:solidFill>
                  <a:schemeClr val="accent4">
                    <a:lumMod val="60000"/>
                    <a:lumOff val="40000"/>
                  </a:schemeClr>
                </a:solidFill>
              </a:ln>
              <a:effectLst/>
            </c:spPr>
          </c:marker>
          <c:val>
            <c:numRef>
              <c:f>엘오티베큠!$C$6:$Y$6</c:f>
              <c:numCache>
                <c:formatCode>_-* #,##0_-;\-* #,##0_-;_-* "-"_-;_-@</c:formatCode>
                <c:ptCount val="23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19-4C5F-B2CA-4F5658760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162256"/>
        <c:axId val="905752112"/>
      </c:lineChart>
      <c:catAx>
        <c:axId val="89027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0272368"/>
        <c:crosses val="autoZero"/>
        <c:auto val="1"/>
        <c:lblAlgn val="ctr"/>
        <c:lblOffset val="100"/>
        <c:noMultiLvlLbl val="0"/>
      </c:catAx>
      <c:valAx>
        <c:axId val="890272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0274448"/>
        <c:crosses val="autoZero"/>
        <c:crossBetween val="between"/>
      </c:valAx>
      <c:valAx>
        <c:axId val="905752112"/>
        <c:scaling>
          <c:orientation val="minMax"/>
        </c:scaling>
        <c:delete val="0"/>
        <c:axPos val="r"/>
        <c:numFmt formatCode="_-* #,##0_-;\-* #,##0_-;_-* &quot;-&quot;_-;_-@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3162256"/>
        <c:crosses val="max"/>
        <c:crossBetween val="between"/>
      </c:valAx>
      <c:catAx>
        <c:axId val="183162256"/>
        <c:scaling>
          <c:orientation val="minMax"/>
        </c:scaling>
        <c:delete val="1"/>
        <c:axPos val="b"/>
        <c:majorTickMark val="out"/>
        <c:minorTickMark val="none"/>
        <c:tickLblPos val="nextTo"/>
        <c:crossAx val="9057521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판매비와 관리비 주요 비용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엘오티베큠!$B$125</c:f>
              <c:strCache>
                <c:ptCount val="1"/>
                <c:pt idx="0">
                  <c:v> 급여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엘오티베큠!$C$125:$Y$125</c:f>
              <c:numCache>
                <c:formatCode>#,##0_ ;[Red]\-#,##0\ </c:formatCode>
                <c:ptCount val="23"/>
                <c:pt idx="0">
                  <c:v>1886</c:v>
                </c:pt>
                <c:pt idx="1">
                  <c:v>1994</c:v>
                </c:pt>
                <c:pt idx="2">
                  <c:v>2017</c:v>
                </c:pt>
                <c:pt idx="3">
                  <c:v>2007</c:v>
                </c:pt>
                <c:pt idx="4">
                  <c:v>2169</c:v>
                </c:pt>
                <c:pt idx="5">
                  <c:v>2263</c:v>
                </c:pt>
                <c:pt idx="6">
                  <c:v>2368</c:v>
                </c:pt>
                <c:pt idx="7">
                  <c:v>2636</c:v>
                </c:pt>
                <c:pt idx="8">
                  <c:v>2594</c:v>
                </c:pt>
                <c:pt idx="9">
                  <c:v>2665</c:v>
                </c:pt>
                <c:pt idx="10">
                  <c:v>2653</c:v>
                </c:pt>
                <c:pt idx="11">
                  <c:v>2874</c:v>
                </c:pt>
                <c:pt idx="12">
                  <c:v>2809</c:v>
                </c:pt>
                <c:pt idx="13">
                  <c:v>2911</c:v>
                </c:pt>
                <c:pt idx="14">
                  <c:v>2759</c:v>
                </c:pt>
                <c:pt idx="15">
                  <c:v>2672</c:v>
                </c:pt>
                <c:pt idx="16">
                  <c:v>3107</c:v>
                </c:pt>
                <c:pt idx="17">
                  <c:v>2974</c:v>
                </c:pt>
                <c:pt idx="18">
                  <c:v>3246</c:v>
                </c:pt>
                <c:pt idx="19">
                  <c:v>3425</c:v>
                </c:pt>
                <c:pt idx="20">
                  <c:v>4410</c:v>
                </c:pt>
                <c:pt idx="21">
                  <c:v>4313</c:v>
                </c:pt>
                <c:pt idx="22">
                  <c:v>4718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38-469E-AEBE-C11D7D5301D4}"/>
            </c:ext>
          </c:extLst>
        </c:ser>
        <c:ser>
          <c:idx val="18"/>
          <c:order val="18"/>
          <c:tx>
            <c:strRef>
              <c:f>엘오티베큠!$B$143</c:f>
              <c:strCache>
                <c:ptCount val="1"/>
                <c:pt idx="0">
                  <c:v> 지급수수료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엘오티베큠!$C$143:$Y$143</c:f>
              <c:numCache>
                <c:formatCode>#,##0_ ;[Red]\-#,##0\ </c:formatCode>
                <c:ptCount val="23"/>
                <c:pt idx="0">
                  <c:v>388</c:v>
                </c:pt>
                <c:pt idx="1">
                  <c:v>457</c:v>
                </c:pt>
                <c:pt idx="2">
                  <c:v>381</c:v>
                </c:pt>
                <c:pt idx="3">
                  <c:v>455</c:v>
                </c:pt>
                <c:pt idx="4">
                  <c:v>441</c:v>
                </c:pt>
                <c:pt idx="5">
                  <c:v>547</c:v>
                </c:pt>
                <c:pt idx="6">
                  <c:v>775</c:v>
                </c:pt>
                <c:pt idx="7">
                  <c:v>1015</c:v>
                </c:pt>
                <c:pt idx="8">
                  <c:v>440</c:v>
                </c:pt>
                <c:pt idx="9">
                  <c:v>906</c:v>
                </c:pt>
                <c:pt idx="10">
                  <c:v>824</c:v>
                </c:pt>
                <c:pt idx="11">
                  <c:v>842</c:v>
                </c:pt>
                <c:pt idx="12">
                  <c:v>878</c:v>
                </c:pt>
                <c:pt idx="13">
                  <c:v>585</c:v>
                </c:pt>
                <c:pt idx="14">
                  <c:v>725</c:v>
                </c:pt>
                <c:pt idx="15">
                  <c:v>572</c:v>
                </c:pt>
                <c:pt idx="16">
                  <c:v>929</c:v>
                </c:pt>
                <c:pt idx="17">
                  <c:v>919</c:v>
                </c:pt>
                <c:pt idx="18">
                  <c:v>1211</c:v>
                </c:pt>
                <c:pt idx="19">
                  <c:v>2031</c:v>
                </c:pt>
                <c:pt idx="20">
                  <c:v>1748</c:v>
                </c:pt>
                <c:pt idx="21">
                  <c:v>2025</c:v>
                </c:pt>
                <c:pt idx="22">
                  <c:v>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38-469E-AEBE-C11D7D5301D4}"/>
            </c:ext>
          </c:extLst>
        </c:ser>
        <c:ser>
          <c:idx val="19"/>
          <c:order val="19"/>
          <c:tx>
            <c:strRef>
              <c:f>엘오티베큠!$B$144</c:f>
              <c:strCache>
                <c:ptCount val="1"/>
                <c:pt idx="0">
                  <c:v> 경상연구개발비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엘오티베큠!$C$144:$Y$144</c:f>
              <c:numCache>
                <c:formatCode>#,##0_ ;[Red]\-#,##0\ </c:formatCode>
                <c:ptCount val="23"/>
                <c:pt idx="0">
                  <c:v>1632</c:v>
                </c:pt>
                <c:pt idx="1">
                  <c:v>1856</c:v>
                </c:pt>
                <c:pt idx="2">
                  <c:v>2376</c:v>
                </c:pt>
                <c:pt idx="3">
                  <c:v>2365</c:v>
                </c:pt>
                <c:pt idx="4">
                  <c:v>2975</c:v>
                </c:pt>
                <c:pt idx="5">
                  <c:v>1556</c:v>
                </c:pt>
                <c:pt idx="6">
                  <c:v>2186</c:v>
                </c:pt>
                <c:pt idx="7">
                  <c:v>2198</c:v>
                </c:pt>
                <c:pt idx="8">
                  <c:v>2133</c:v>
                </c:pt>
                <c:pt idx="9">
                  <c:v>2325</c:v>
                </c:pt>
                <c:pt idx="10">
                  <c:v>2277</c:v>
                </c:pt>
                <c:pt idx="11">
                  <c:v>2820</c:v>
                </c:pt>
                <c:pt idx="12">
                  <c:v>2287</c:v>
                </c:pt>
                <c:pt idx="13">
                  <c:v>2848</c:v>
                </c:pt>
                <c:pt idx="14">
                  <c:v>2809</c:v>
                </c:pt>
                <c:pt idx="15">
                  <c:v>2622</c:v>
                </c:pt>
                <c:pt idx="16">
                  <c:v>2471</c:v>
                </c:pt>
                <c:pt idx="17">
                  <c:v>2382</c:v>
                </c:pt>
                <c:pt idx="18">
                  <c:v>2283</c:v>
                </c:pt>
                <c:pt idx="19">
                  <c:v>3922</c:v>
                </c:pt>
                <c:pt idx="20">
                  <c:v>3057</c:v>
                </c:pt>
                <c:pt idx="21">
                  <c:v>3536</c:v>
                </c:pt>
                <c:pt idx="22">
                  <c:v>3397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D38-469E-AEBE-C11D7D5301D4}"/>
            </c:ext>
          </c:extLst>
        </c:ser>
        <c:ser>
          <c:idx val="21"/>
          <c:order val="21"/>
          <c:tx>
            <c:strRef>
              <c:f>엘오티베큠!$B$146</c:f>
              <c:strCache>
                <c:ptCount val="1"/>
                <c:pt idx="0">
                  <c:v> 제품보증비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엘오티베큠!$C$146:$Y$146</c:f>
              <c:numCache>
                <c:formatCode>#,##0_ ;[Red]\-#,##0\ </c:formatCode>
                <c:ptCount val="23"/>
                <c:pt idx="0">
                  <c:v>1943</c:v>
                </c:pt>
                <c:pt idx="1">
                  <c:v>2571</c:v>
                </c:pt>
                <c:pt idx="2">
                  <c:v>1258</c:v>
                </c:pt>
                <c:pt idx="3">
                  <c:v>1892</c:v>
                </c:pt>
                <c:pt idx="4">
                  <c:v>1949</c:v>
                </c:pt>
                <c:pt idx="5">
                  <c:v>2618</c:v>
                </c:pt>
                <c:pt idx="6">
                  <c:v>1093</c:v>
                </c:pt>
                <c:pt idx="7">
                  <c:v>1117</c:v>
                </c:pt>
                <c:pt idx="8">
                  <c:v>1685</c:v>
                </c:pt>
                <c:pt idx="9">
                  <c:v>1129</c:v>
                </c:pt>
                <c:pt idx="10">
                  <c:v>1437</c:v>
                </c:pt>
                <c:pt idx="11">
                  <c:v>1258</c:v>
                </c:pt>
                <c:pt idx="12">
                  <c:v>1771</c:v>
                </c:pt>
                <c:pt idx="13">
                  <c:v>1102</c:v>
                </c:pt>
                <c:pt idx="14">
                  <c:v>2183</c:v>
                </c:pt>
                <c:pt idx="15">
                  <c:v>3893</c:v>
                </c:pt>
                <c:pt idx="16">
                  <c:v>3353</c:v>
                </c:pt>
                <c:pt idx="17">
                  <c:v>1962</c:v>
                </c:pt>
                <c:pt idx="18">
                  <c:v>5422</c:v>
                </c:pt>
                <c:pt idx="19">
                  <c:v>4262</c:v>
                </c:pt>
                <c:pt idx="20">
                  <c:v>5080</c:v>
                </c:pt>
                <c:pt idx="21">
                  <c:v>8771</c:v>
                </c:pt>
                <c:pt idx="22">
                  <c:v>7583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38-469E-AEBE-C11D7D5301D4}"/>
            </c:ext>
          </c:extLst>
        </c:ser>
        <c:ser>
          <c:idx val="25"/>
          <c:order val="25"/>
          <c:tx>
            <c:strRef>
              <c:f>엘오티베큠!$B$150</c:f>
              <c:strCache>
                <c:ptCount val="1"/>
                <c:pt idx="0">
                  <c:v> 주식보상비용(*1) 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엘오티베큠!$C$150:$Y$150</c:f>
              <c:numCache>
                <c:formatCode>#,##0_ ;[Red]\-#,##0\ </c:formatCode>
                <c:ptCount val="23"/>
                <c:pt idx="3">
                  <c:v>0</c:v>
                </c:pt>
                <c:pt idx="4">
                  <c:v>14</c:v>
                </c:pt>
                <c:pt idx="5">
                  <c:v>466</c:v>
                </c:pt>
                <c:pt idx="6">
                  <c:v>464</c:v>
                </c:pt>
                <c:pt idx="7">
                  <c:v>396</c:v>
                </c:pt>
                <c:pt idx="8">
                  <c:v>443</c:v>
                </c:pt>
                <c:pt idx="9">
                  <c:v>448</c:v>
                </c:pt>
                <c:pt idx="10">
                  <c:v>493</c:v>
                </c:pt>
                <c:pt idx="11">
                  <c:v>76</c:v>
                </c:pt>
                <c:pt idx="12">
                  <c:v>380</c:v>
                </c:pt>
                <c:pt idx="13">
                  <c:v>4</c:v>
                </c:pt>
                <c:pt idx="15">
                  <c:v>739</c:v>
                </c:pt>
                <c:pt idx="16">
                  <c:v>376</c:v>
                </c:pt>
                <c:pt idx="17">
                  <c:v>7430</c:v>
                </c:pt>
                <c:pt idx="19">
                  <c:v>872</c:v>
                </c:pt>
                <c:pt idx="20">
                  <c:v>412</c:v>
                </c:pt>
                <c:pt idx="2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38-469E-AEBE-C11D7D5301D4}"/>
            </c:ext>
          </c:extLst>
        </c:ser>
        <c:ser>
          <c:idx val="26"/>
          <c:order val="26"/>
          <c:tx>
            <c:strRef>
              <c:f>엘오티베큠!$B$151</c:f>
              <c:strCache>
                <c:ptCount val="1"/>
                <c:pt idx="0">
                  <c:v> 수출제비용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엘오티베큠!$C$151:$Y$151</c:f>
              <c:numCache>
                <c:formatCode>#,##0_ ;[Red]\-#,##0\ </c:formatCode>
                <c:ptCount val="23"/>
                <c:pt idx="0">
                  <c:v>115</c:v>
                </c:pt>
                <c:pt idx="1">
                  <c:v>184</c:v>
                </c:pt>
                <c:pt idx="2">
                  <c:v>128</c:v>
                </c:pt>
                <c:pt idx="3">
                  <c:v>64</c:v>
                </c:pt>
                <c:pt idx="4">
                  <c:v>149</c:v>
                </c:pt>
                <c:pt idx="5">
                  <c:v>357</c:v>
                </c:pt>
                <c:pt idx="6">
                  <c:v>166</c:v>
                </c:pt>
                <c:pt idx="7">
                  <c:v>216</c:v>
                </c:pt>
                <c:pt idx="8">
                  <c:v>695</c:v>
                </c:pt>
                <c:pt idx="9">
                  <c:v>193</c:v>
                </c:pt>
                <c:pt idx="10">
                  <c:v>453</c:v>
                </c:pt>
                <c:pt idx="11">
                  <c:v>353</c:v>
                </c:pt>
                <c:pt idx="12">
                  <c:v>345</c:v>
                </c:pt>
                <c:pt idx="13">
                  <c:v>255</c:v>
                </c:pt>
                <c:pt idx="14">
                  <c:v>215</c:v>
                </c:pt>
                <c:pt idx="15">
                  <c:v>913</c:v>
                </c:pt>
                <c:pt idx="16">
                  <c:v>2168</c:v>
                </c:pt>
                <c:pt idx="17">
                  <c:v>5</c:v>
                </c:pt>
                <c:pt idx="18">
                  <c:v>505</c:v>
                </c:pt>
                <c:pt idx="19">
                  <c:v>-504</c:v>
                </c:pt>
                <c:pt idx="22">
                  <c:v>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D38-469E-AEBE-C11D7D530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890274448"/>
        <c:axId val="890272368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엘오티베큠!$B$126</c15:sqref>
                        </c15:formulaRef>
                      </c:ext>
                    </c:extLst>
                    <c:strCache>
                      <c:ptCount val="1"/>
                      <c:pt idx="0">
                        <c:v> 상여금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엘오티베큠!$C$126:$Y$126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411</c:v>
                      </c:pt>
                      <c:pt idx="1">
                        <c:v>52</c:v>
                      </c:pt>
                      <c:pt idx="2">
                        <c:v>677</c:v>
                      </c:pt>
                      <c:pt idx="3">
                        <c:v>733</c:v>
                      </c:pt>
                      <c:pt idx="4">
                        <c:v>946</c:v>
                      </c:pt>
                      <c:pt idx="5">
                        <c:v>56</c:v>
                      </c:pt>
                      <c:pt idx="6">
                        <c:v>352</c:v>
                      </c:pt>
                      <c:pt idx="7">
                        <c:v>878</c:v>
                      </c:pt>
                      <c:pt idx="8">
                        <c:v>583</c:v>
                      </c:pt>
                      <c:pt idx="9">
                        <c:v>44</c:v>
                      </c:pt>
                      <c:pt idx="10">
                        <c:v>-75</c:v>
                      </c:pt>
                      <c:pt idx="11">
                        <c:v>6</c:v>
                      </c:pt>
                      <c:pt idx="12">
                        <c:v>454</c:v>
                      </c:pt>
                      <c:pt idx="13">
                        <c:v>46</c:v>
                      </c:pt>
                      <c:pt idx="14">
                        <c:v>83</c:v>
                      </c:pt>
                      <c:pt idx="15">
                        <c:v>1035</c:v>
                      </c:pt>
                      <c:pt idx="16">
                        <c:v>1023</c:v>
                      </c:pt>
                      <c:pt idx="17">
                        <c:v>49</c:v>
                      </c:pt>
                      <c:pt idx="18">
                        <c:v>270</c:v>
                      </c:pt>
                      <c:pt idx="19">
                        <c:v>2631</c:v>
                      </c:pt>
                      <c:pt idx="20">
                        <c:v>716</c:v>
                      </c:pt>
                      <c:pt idx="21">
                        <c:v>283</c:v>
                      </c:pt>
                      <c:pt idx="22">
                        <c:v>2196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6D38-469E-AEBE-C11D7D5301D4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엘오티베큠!$B$127</c15:sqref>
                        </c15:formulaRef>
                      </c:ext>
                    </c:extLst>
                    <c:strCache>
                      <c:ptCount val="1"/>
                      <c:pt idx="0">
                        <c:v> 퇴직급여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엘오티베큠!$C$127:$Y$127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194</c:v>
                      </c:pt>
                      <c:pt idx="1">
                        <c:v>53</c:v>
                      </c:pt>
                      <c:pt idx="2">
                        <c:v>311</c:v>
                      </c:pt>
                      <c:pt idx="3">
                        <c:v>263</c:v>
                      </c:pt>
                      <c:pt idx="4">
                        <c:v>274</c:v>
                      </c:pt>
                      <c:pt idx="5">
                        <c:v>73</c:v>
                      </c:pt>
                      <c:pt idx="6">
                        <c:v>607</c:v>
                      </c:pt>
                      <c:pt idx="7">
                        <c:v>-63</c:v>
                      </c:pt>
                      <c:pt idx="8">
                        <c:v>332</c:v>
                      </c:pt>
                      <c:pt idx="9">
                        <c:v>305</c:v>
                      </c:pt>
                      <c:pt idx="10">
                        <c:v>299</c:v>
                      </c:pt>
                      <c:pt idx="11">
                        <c:v>268</c:v>
                      </c:pt>
                      <c:pt idx="12">
                        <c:v>316</c:v>
                      </c:pt>
                      <c:pt idx="13">
                        <c:v>324</c:v>
                      </c:pt>
                      <c:pt idx="14">
                        <c:v>317</c:v>
                      </c:pt>
                      <c:pt idx="15">
                        <c:v>427</c:v>
                      </c:pt>
                      <c:pt idx="16">
                        <c:v>367</c:v>
                      </c:pt>
                      <c:pt idx="17">
                        <c:v>342</c:v>
                      </c:pt>
                      <c:pt idx="18">
                        <c:v>219</c:v>
                      </c:pt>
                      <c:pt idx="19">
                        <c:v>513</c:v>
                      </c:pt>
                      <c:pt idx="20">
                        <c:v>516</c:v>
                      </c:pt>
                      <c:pt idx="21">
                        <c:v>498</c:v>
                      </c:pt>
                      <c:pt idx="22">
                        <c:v>466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6D38-469E-AEBE-C11D7D5301D4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엘오티베큠!$B$128</c15:sqref>
                        </c15:formulaRef>
                      </c:ext>
                    </c:extLst>
                    <c:strCache>
                      <c:ptCount val="1"/>
                      <c:pt idx="0">
                        <c:v> 복리후생비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엘오티베큠!$C$128:$Y$128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280</c:v>
                      </c:pt>
                      <c:pt idx="1">
                        <c:v>389</c:v>
                      </c:pt>
                      <c:pt idx="2">
                        <c:v>232</c:v>
                      </c:pt>
                      <c:pt idx="3">
                        <c:v>405</c:v>
                      </c:pt>
                      <c:pt idx="4">
                        <c:v>305</c:v>
                      </c:pt>
                      <c:pt idx="5">
                        <c:v>418</c:v>
                      </c:pt>
                      <c:pt idx="6">
                        <c:v>310</c:v>
                      </c:pt>
                      <c:pt idx="7">
                        <c:v>537</c:v>
                      </c:pt>
                      <c:pt idx="8">
                        <c:v>329</c:v>
                      </c:pt>
                      <c:pt idx="9">
                        <c:v>500</c:v>
                      </c:pt>
                      <c:pt idx="10">
                        <c:v>447</c:v>
                      </c:pt>
                      <c:pt idx="11">
                        <c:v>568</c:v>
                      </c:pt>
                      <c:pt idx="12">
                        <c:v>351</c:v>
                      </c:pt>
                      <c:pt idx="13">
                        <c:v>304</c:v>
                      </c:pt>
                      <c:pt idx="14">
                        <c:v>335</c:v>
                      </c:pt>
                      <c:pt idx="15">
                        <c:v>480</c:v>
                      </c:pt>
                      <c:pt idx="16">
                        <c:v>358</c:v>
                      </c:pt>
                      <c:pt idx="17">
                        <c:v>435</c:v>
                      </c:pt>
                      <c:pt idx="18">
                        <c:v>457</c:v>
                      </c:pt>
                      <c:pt idx="19">
                        <c:v>628</c:v>
                      </c:pt>
                      <c:pt idx="20">
                        <c:v>559</c:v>
                      </c:pt>
                      <c:pt idx="21">
                        <c:v>743</c:v>
                      </c:pt>
                      <c:pt idx="22">
                        <c:v>764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6D38-469E-AEBE-C11D7D5301D4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엘오티베큠!$B$129</c15:sqref>
                        </c15:formulaRef>
                      </c:ext>
                    </c:extLst>
                    <c:strCache>
                      <c:ptCount val="1"/>
                      <c:pt idx="0">
                        <c:v> 수도광열비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엘오티베큠!$C$129:$Y$129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93</c:v>
                      </c:pt>
                      <c:pt idx="1">
                        <c:v>55</c:v>
                      </c:pt>
                      <c:pt idx="2">
                        <c:v>80</c:v>
                      </c:pt>
                      <c:pt idx="3">
                        <c:v>65</c:v>
                      </c:pt>
                      <c:pt idx="4">
                        <c:v>92</c:v>
                      </c:pt>
                      <c:pt idx="5">
                        <c:v>59</c:v>
                      </c:pt>
                      <c:pt idx="6">
                        <c:v>74</c:v>
                      </c:pt>
                      <c:pt idx="7">
                        <c:v>75</c:v>
                      </c:pt>
                      <c:pt idx="8">
                        <c:v>96</c:v>
                      </c:pt>
                      <c:pt idx="9">
                        <c:v>182</c:v>
                      </c:pt>
                      <c:pt idx="10">
                        <c:v>485</c:v>
                      </c:pt>
                      <c:pt idx="11">
                        <c:v>263</c:v>
                      </c:pt>
                      <c:pt idx="12">
                        <c:v>185</c:v>
                      </c:pt>
                      <c:pt idx="13">
                        <c:v>136</c:v>
                      </c:pt>
                      <c:pt idx="14">
                        <c:v>147</c:v>
                      </c:pt>
                      <c:pt idx="15">
                        <c:v>104</c:v>
                      </c:pt>
                      <c:pt idx="16">
                        <c:v>130</c:v>
                      </c:pt>
                      <c:pt idx="17">
                        <c:v>85</c:v>
                      </c:pt>
                      <c:pt idx="18">
                        <c:v>153</c:v>
                      </c:pt>
                      <c:pt idx="19">
                        <c:v>660</c:v>
                      </c:pt>
                      <c:pt idx="20">
                        <c:v>265</c:v>
                      </c:pt>
                      <c:pt idx="21">
                        <c:v>207</c:v>
                      </c:pt>
                      <c:pt idx="22">
                        <c:v>260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6D38-469E-AEBE-C11D7D5301D4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엘오티베큠!$B$130</c15:sqref>
                        </c15:formulaRef>
                      </c:ext>
                    </c:extLst>
                    <c:strCache>
                      <c:ptCount val="1"/>
                      <c:pt idx="0">
                        <c:v> 지급임차료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엘오티베큠!$C$130:$Y$130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81</c:v>
                      </c:pt>
                      <c:pt idx="1">
                        <c:v>85</c:v>
                      </c:pt>
                      <c:pt idx="2">
                        <c:v>86</c:v>
                      </c:pt>
                      <c:pt idx="3">
                        <c:v>88</c:v>
                      </c:pt>
                      <c:pt idx="4">
                        <c:v>98</c:v>
                      </c:pt>
                      <c:pt idx="5">
                        <c:v>123</c:v>
                      </c:pt>
                      <c:pt idx="6">
                        <c:v>102</c:v>
                      </c:pt>
                      <c:pt idx="7">
                        <c:v>177</c:v>
                      </c:pt>
                      <c:pt idx="8">
                        <c:v>54</c:v>
                      </c:pt>
                      <c:pt idx="9">
                        <c:v>48</c:v>
                      </c:pt>
                      <c:pt idx="10">
                        <c:v>54</c:v>
                      </c:pt>
                      <c:pt idx="11">
                        <c:v>-2</c:v>
                      </c:pt>
                      <c:pt idx="12">
                        <c:v>36</c:v>
                      </c:pt>
                      <c:pt idx="13">
                        <c:v>35</c:v>
                      </c:pt>
                      <c:pt idx="14">
                        <c:v>11</c:v>
                      </c:pt>
                      <c:pt idx="15">
                        <c:v>62</c:v>
                      </c:pt>
                      <c:pt idx="16">
                        <c:v>40</c:v>
                      </c:pt>
                      <c:pt idx="17">
                        <c:v>56</c:v>
                      </c:pt>
                      <c:pt idx="18">
                        <c:v>20</c:v>
                      </c:pt>
                      <c:pt idx="19">
                        <c:v>40</c:v>
                      </c:pt>
                      <c:pt idx="20">
                        <c:v>38</c:v>
                      </c:pt>
                      <c:pt idx="21">
                        <c:v>42</c:v>
                      </c:pt>
                      <c:pt idx="22">
                        <c:v>45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6D38-469E-AEBE-C11D7D5301D4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엘오티베큠!$B$131</c15:sqref>
                        </c15:formulaRef>
                      </c:ext>
                    </c:extLst>
                    <c:strCache>
                      <c:ptCount val="1"/>
                      <c:pt idx="0">
                        <c:v> 운반비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엘오티베큠!$C$131:$Y$131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87</c:v>
                      </c:pt>
                      <c:pt idx="1">
                        <c:v>105</c:v>
                      </c:pt>
                      <c:pt idx="2">
                        <c:v>129</c:v>
                      </c:pt>
                      <c:pt idx="3">
                        <c:v>144</c:v>
                      </c:pt>
                      <c:pt idx="4">
                        <c:v>163</c:v>
                      </c:pt>
                      <c:pt idx="5">
                        <c:v>167</c:v>
                      </c:pt>
                      <c:pt idx="6">
                        <c:v>157</c:v>
                      </c:pt>
                      <c:pt idx="7">
                        <c:v>543</c:v>
                      </c:pt>
                      <c:pt idx="8">
                        <c:v>476</c:v>
                      </c:pt>
                      <c:pt idx="9">
                        <c:v>477</c:v>
                      </c:pt>
                      <c:pt idx="10">
                        <c:v>433</c:v>
                      </c:pt>
                      <c:pt idx="11">
                        <c:v>441</c:v>
                      </c:pt>
                      <c:pt idx="12">
                        <c:v>455</c:v>
                      </c:pt>
                      <c:pt idx="13">
                        <c:v>465</c:v>
                      </c:pt>
                      <c:pt idx="14">
                        <c:v>439</c:v>
                      </c:pt>
                      <c:pt idx="15">
                        <c:v>435</c:v>
                      </c:pt>
                      <c:pt idx="16">
                        <c:v>469</c:v>
                      </c:pt>
                      <c:pt idx="17">
                        <c:v>451</c:v>
                      </c:pt>
                      <c:pt idx="18">
                        <c:v>469</c:v>
                      </c:pt>
                      <c:pt idx="19">
                        <c:v>449</c:v>
                      </c:pt>
                      <c:pt idx="20">
                        <c:v>584</c:v>
                      </c:pt>
                      <c:pt idx="21">
                        <c:v>599</c:v>
                      </c:pt>
                      <c:pt idx="22">
                        <c:v>641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6D38-469E-AEBE-C11D7D5301D4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엘오티베큠!$B$132</c15:sqref>
                        </c15:formulaRef>
                      </c:ext>
                    </c:extLst>
                    <c:strCache>
                      <c:ptCount val="1"/>
                      <c:pt idx="0">
                        <c:v> 무형자산상각비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엘오티베큠!$C$132:$Y$132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58</c:v>
                      </c:pt>
                      <c:pt idx="1">
                        <c:v>48</c:v>
                      </c:pt>
                      <c:pt idx="2">
                        <c:v>28</c:v>
                      </c:pt>
                      <c:pt idx="3">
                        <c:v>31</c:v>
                      </c:pt>
                      <c:pt idx="4">
                        <c:v>31</c:v>
                      </c:pt>
                      <c:pt idx="5">
                        <c:v>30</c:v>
                      </c:pt>
                      <c:pt idx="6">
                        <c:v>31</c:v>
                      </c:pt>
                      <c:pt idx="7">
                        <c:v>28</c:v>
                      </c:pt>
                      <c:pt idx="8">
                        <c:v>28</c:v>
                      </c:pt>
                      <c:pt idx="9">
                        <c:v>30</c:v>
                      </c:pt>
                      <c:pt idx="10">
                        <c:v>28</c:v>
                      </c:pt>
                      <c:pt idx="11">
                        <c:v>28</c:v>
                      </c:pt>
                      <c:pt idx="12">
                        <c:v>29</c:v>
                      </c:pt>
                      <c:pt idx="13">
                        <c:v>26</c:v>
                      </c:pt>
                      <c:pt idx="14">
                        <c:v>26</c:v>
                      </c:pt>
                      <c:pt idx="15">
                        <c:v>30</c:v>
                      </c:pt>
                      <c:pt idx="16">
                        <c:v>27</c:v>
                      </c:pt>
                      <c:pt idx="17">
                        <c:v>56</c:v>
                      </c:pt>
                      <c:pt idx="18">
                        <c:v>142</c:v>
                      </c:pt>
                      <c:pt idx="19">
                        <c:v>64</c:v>
                      </c:pt>
                      <c:pt idx="20">
                        <c:v>130</c:v>
                      </c:pt>
                      <c:pt idx="21">
                        <c:v>143</c:v>
                      </c:pt>
                      <c:pt idx="22">
                        <c:v>150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6D38-469E-AEBE-C11D7D5301D4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엘오티베큠!$B$133</c15:sqref>
                        </c15:formulaRef>
                      </c:ext>
                    </c:extLst>
                    <c:strCache>
                      <c:ptCount val="1"/>
                      <c:pt idx="0">
                        <c:v> 감가상각비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엘오티베큠!$C$133:$Y$133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124</c:v>
                      </c:pt>
                      <c:pt idx="1">
                        <c:v>121</c:v>
                      </c:pt>
                      <c:pt idx="2">
                        <c:v>117</c:v>
                      </c:pt>
                      <c:pt idx="3">
                        <c:v>107</c:v>
                      </c:pt>
                      <c:pt idx="4">
                        <c:v>104</c:v>
                      </c:pt>
                      <c:pt idx="5">
                        <c:v>104</c:v>
                      </c:pt>
                      <c:pt idx="6">
                        <c:v>104</c:v>
                      </c:pt>
                      <c:pt idx="7">
                        <c:v>103</c:v>
                      </c:pt>
                      <c:pt idx="8">
                        <c:v>154</c:v>
                      </c:pt>
                      <c:pt idx="9">
                        <c:v>198</c:v>
                      </c:pt>
                      <c:pt idx="10">
                        <c:v>315</c:v>
                      </c:pt>
                      <c:pt idx="11">
                        <c:v>541</c:v>
                      </c:pt>
                      <c:pt idx="12">
                        <c:v>398</c:v>
                      </c:pt>
                      <c:pt idx="13">
                        <c:v>398</c:v>
                      </c:pt>
                      <c:pt idx="14">
                        <c:v>383</c:v>
                      </c:pt>
                      <c:pt idx="15">
                        <c:v>302</c:v>
                      </c:pt>
                      <c:pt idx="16">
                        <c:v>338</c:v>
                      </c:pt>
                      <c:pt idx="17">
                        <c:v>336</c:v>
                      </c:pt>
                      <c:pt idx="18">
                        <c:v>354</c:v>
                      </c:pt>
                      <c:pt idx="19">
                        <c:v>593</c:v>
                      </c:pt>
                      <c:pt idx="20">
                        <c:v>511</c:v>
                      </c:pt>
                      <c:pt idx="21">
                        <c:v>461</c:v>
                      </c:pt>
                      <c:pt idx="22">
                        <c:v>524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6D38-469E-AEBE-C11D7D5301D4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엘오티베큠!$B$134</c15:sqref>
                        </c15:formulaRef>
                      </c:ext>
                    </c:extLst>
                    <c:strCache>
                      <c:ptCount val="1"/>
                      <c:pt idx="0">
                        <c:v> 수선비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엘오티베큠!$C$134:$Y$134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</c:v>
                      </c:pt>
                      <c:pt idx="1">
                        <c:v>3</c:v>
                      </c:pt>
                      <c:pt idx="2">
                        <c:v>52</c:v>
                      </c:pt>
                      <c:pt idx="3">
                        <c:v>5</c:v>
                      </c:pt>
                      <c:pt idx="4">
                        <c:v>1</c:v>
                      </c:pt>
                      <c:pt idx="5">
                        <c:v>8</c:v>
                      </c:pt>
                      <c:pt idx="6">
                        <c:v>5</c:v>
                      </c:pt>
                      <c:pt idx="7">
                        <c:v>79</c:v>
                      </c:pt>
                      <c:pt idx="8">
                        <c:v>19</c:v>
                      </c:pt>
                      <c:pt idx="9">
                        <c:v>9</c:v>
                      </c:pt>
                      <c:pt idx="10">
                        <c:v>27</c:v>
                      </c:pt>
                      <c:pt idx="11">
                        <c:v>31</c:v>
                      </c:pt>
                      <c:pt idx="12">
                        <c:v>21</c:v>
                      </c:pt>
                      <c:pt idx="13">
                        <c:v>11</c:v>
                      </c:pt>
                      <c:pt idx="14">
                        <c:v>11</c:v>
                      </c:pt>
                      <c:pt idx="15">
                        <c:v>24</c:v>
                      </c:pt>
                      <c:pt idx="16">
                        <c:v>12</c:v>
                      </c:pt>
                      <c:pt idx="17">
                        <c:v>23</c:v>
                      </c:pt>
                      <c:pt idx="18">
                        <c:v>23</c:v>
                      </c:pt>
                      <c:pt idx="19">
                        <c:v>21</c:v>
                      </c:pt>
                      <c:pt idx="20">
                        <c:v>25</c:v>
                      </c:pt>
                      <c:pt idx="21">
                        <c:v>23</c:v>
                      </c:pt>
                      <c:pt idx="22">
                        <c:v>49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6D38-469E-AEBE-C11D7D5301D4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엘오티베큠!$B$135</c15:sqref>
                        </c15:formulaRef>
                      </c:ext>
                    </c:extLst>
                    <c:strCache>
                      <c:ptCount val="1"/>
                      <c:pt idx="0">
                        <c:v> 소모품비</c:v>
                      </c:pt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엘오티베큠!$C$135:$Y$135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78</c:v>
                      </c:pt>
                      <c:pt idx="1">
                        <c:v>85</c:v>
                      </c:pt>
                      <c:pt idx="2">
                        <c:v>243</c:v>
                      </c:pt>
                      <c:pt idx="3">
                        <c:v>390</c:v>
                      </c:pt>
                      <c:pt idx="4">
                        <c:v>125</c:v>
                      </c:pt>
                      <c:pt idx="5">
                        <c:v>107</c:v>
                      </c:pt>
                      <c:pt idx="6">
                        <c:v>111</c:v>
                      </c:pt>
                      <c:pt idx="7">
                        <c:v>185</c:v>
                      </c:pt>
                      <c:pt idx="8">
                        <c:v>153</c:v>
                      </c:pt>
                      <c:pt idx="9">
                        <c:v>428</c:v>
                      </c:pt>
                      <c:pt idx="10">
                        <c:v>270</c:v>
                      </c:pt>
                      <c:pt idx="11">
                        <c:v>163</c:v>
                      </c:pt>
                      <c:pt idx="12">
                        <c:v>158</c:v>
                      </c:pt>
                      <c:pt idx="13">
                        <c:v>125</c:v>
                      </c:pt>
                      <c:pt idx="14">
                        <c:v>113</c:v>
                      </c:pt>
                      <c:pt idx="15">
                        <c:v>125</c:v>
                      </c:pt>
                      <c:pt idx="16">
                        <c:v>151</c:v>
                      </c:pt>
                      <c:pt idx="17">
                        <c:v>138</c:v>
                      </c:pt>
                      <c:pt idx="18">
                        <c:v>134</c:v>
                      </c:pt>
                      <c:pt idx="19">
                        <c:v>127</c:v>
                      </c:pt>
                      <c:pt idx="20">
                        <c:v>659</c:v>
                      </c:pt>
                      <c:pt idx="21">
                        <c:v>165</c:v>
                      </c:pt>
                      <c:pt idx="22">
                        <c:v>197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6D38-469E-AEBE-C11D7D5301D4}"/>
                  </c:ext>
                </c:extLst>
              </c15:ser>
            </c15:filteredBarSeries>
            <c15:filteredBar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엘오티베큠!$B$136</c15:sqref>
                        </c15:formulaRef>
                      </c:ext>
                    </c:extLst>
                    <c:strCache>
                      <c:ptCount val="1"/>
                      <c:pt idx="0">
                        <c:v> 세금과공과</c:v>
                      </c:pt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엘오티베큠!$C$136:$Y$136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157</c:v>
                      </c:pt>
                      <c:pt idx="1">
                        <c:v>123</c:v>
                      </c:pt>
                      <c:pt idx="2">
                        <c:v>239</c:v>
                      </c:pt>
                      <c:pt idx="3">
                        <c:v>260</c:v>
                      </c:pt>
                      <c:pt idx="4">
                        <c:v>217</c:v>
                      </c:pt>
                      <c:pt idx="5">
                        <c:v>149</c:v>
                      </c:pt>
                      <c:pt idx="6">
                        <c:v>201</c:v>
                      </c:pt>
                      <c:pt idx="7">
                        <c:v>295</c:v>
                      </c:pt>
                      <c:pt idx="8">
                        <c:v>172</c:v>
                      </c:pt>
                      <c:pt idx="9">
                        <c:v>187</c:v>
                      </c:pt>
                      <c:pt idx="10">
                        <c:v>271</c:v>
                      </c:pt>
                      <c:pt idx="11">
                        <c:v>364</c:v>
                      </c:pt>
                      <c:pt idx="12">
                        <c:v>237</c:v>
                      </c:pt>
                      <c:pt idx="13">
                        <c:v>195</c:v>
                      </c:pt>
                      <c:pt idx="14">
                        <c:v>332</c:v>
                      </c:pt>
                      <c:pt idx="15">
                        <c:v>723</c:v>
                      </c:pt>
                      <c:pt idx="16">
                        <c:v>269</c:v>
                      </c:pt>
                      <c:pt idx="17">
                        <c:v>361</c:v>
                      </c:pt>
                      <c:pt idx="18">
                        <c:v>325</c:v>
                      </c:pt>
                      <c:pt idx="19">
                        <c:v>348</c:v>
                      </c:pt>
                      <c:pt idx="20">
                        <c:v>499</c:v>
                      </c:pt>
                      <c:pt idx="21">
                        <c:v>474</c:v>
                      </c:pt>
                      <c:pt idx="22">
                        <c:v>448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6D38-469E-AEBE-C11D7D5301D4}"/>
                  </c:ext>
                </c:extLst>
              </c15:ser>
            </c15:filteredBarSeries>
            <c15:filteredBar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엘오티베큠!$B$137</c15:sqref>
                        </c15:formulaRef>
                      </c:ext>
                    </c:extLst>
                    <c:strCache>
                      <c:ptCount val="1"/>
                      <c:pt idx="0">
                        <c:v> 보험료</c:v>
                      </c:pt>
                    </c:strCache>
                  </c:strRef>
                </c:tx>
                <c:spPr>
                  <a:solidFill>
                    <a:schemeClr val="accent1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엘오티베큠!$C$137:$Y$137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46</c:v>
                      </c:pt>
                      <c:pt idx="1">
                        <c:v>71</c:v>
                      </c:pt>
                      <c:pt idx="2">
                        <c:v>51</c:v>
                      </c:pt>
                      <c:pt idx="3">
                        <c:v>56</c:v>
                      </c:pt>
                      <c:pt idx="4">
                        <c:v>61</c:v>
                      </c:pt>
                      <c:pt idx="5">
                        <c:v>98</c:v>
                      </c:pt>
                      <c:pt idx="6">
                        <c:v>84</c:v>
                      </c:pt>
                      <c:pt idx="7">
                        <c:v>82</c:v>
                      </c:pt>
                      <c:pt idx="8">
                        <c:v>64</c:v>
                      </c:pt>
                      <c:pt idx="9">
                        <c:v>104</c:v>
                      </c:pt>
                      <c:pt idx="10">
                        <c:v>82</c:v>
                      </c:pt>
                      <c:pt idx="11">
                        <c:v>68</c:v>
                      </c:pt>
                      <c:pt idx="12">
                        <c:v>82</c:v>
                      </c:pt>
                      <c:pt idx="13">
                        <c:v>99</c:v>
                      </c:pt>
                      <c:pt idx="14">
                        <c:v>84</c:v>
                      </c:pt>
                      <c:pt idx="15">
                        <c:v>80</c:v>
                      </c:pt>
                      <c:pt idx="16">
                        <c:v>74</c:v>
                      </c:pt>
                      <c:pt idx="17">
                        <c:v>74</c:v>
                      </c:pt>
                      <c:pt idx="18">
                        <c:v>84</c:v>
                      </c:pt>
                      <c:pt idx="19">
                        <c:v>99</c:v>
                      </c:pt>
                      <c:pt idx="20">
                        <c:v>95</c:v>
                      </c:pt>
                      <c:pt idx="21">
                        <c:v>118</c:v>
                      </c:pt>
                      <c:pt idx="22">
                        <c:v>141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6D38-469E-AEBE-C11D7D5301D4}"/>
                  </c:ext>
                </c:extLst>
              </c15:ser>
            </c15:filteredBarSeries>
            <c15:filteredBar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엘오티베큠!$B$138</c15:sqref>
                        </c15:formulaRef>
                      </c:ext>
                    </c:extLst>
                    <c:strCache>
                      <c:ptCount val="1"/>
                      <c:pt idx="0">
                        <c:v> 여비교통비</c:v>
                      </c:pt>
                    </c:strCache>
                  </c:strRef>
                </c:tx>
                <c:spPr>
                  <a:solidFill>
                    <a:schemeClr val="accent2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엘오티베큠!$C$138:$Y$138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103</c:v>
                      </c:pt>
                      <c:pt idx="1">
                        <c:v>164</c:v>
                      </c:pt>
                      <c:pt idx="2">
                        <c:v>92</c:v>
                      </c:pt>
                      <c:pt idx="3">
                        <c:v>67</c:v>
                      </c:pt>
                      <c:pt idx="4">
                        <c:v>88</c:v>
                      </c:pt>
                      <c:pt idx="5">
                        <c:v>112</c:v>
                      </c:pt>
                      <c:pt idx="6">
                        <c:v>183</c:v>
                      </c:pt>
                      <c:pt idx="7">
                        <c:v>147</c:v>
                      </c:pt>
                      <c:pt idx="8">
                        <c:v>162</c:v>
                      </c:pt>
                      <c:pt idx="9">
                        <c:v>195</c:v>
                      </c:pt>
                      <c:pt idx="10">
                        <c:v>167</c:v>
                      </c:pt>
                      <c:pt idx="11">
                        <c:v>136</c:v>
                      </c:pt>
                      <c:pt idx="12">
                        <c:v>100</c:v>
                      </c:pt>
                      <c:pt idx="13">
                        <c:v>60</c:v>
                      </c:pt>
                      <c:pt idx="14">
                        <c:v>84</c:v>
                      </c:pt>
                      <c:pt idx="15">
                        <c:v>91</c:v>
                      </c:pt>
                      <c:pt idx="16">
                        <c:v>86</c:v>
                      </c:pt>
                      <c:pt idx="17">
                        <c:v>82</c:v>
                      </c:pt>
                      <c:pt idx="18">
                        <c:v>98</c:v>
                      </c:pt>
                      <c:pt idx="19">
                        <c:v>41</c:v>
                      </c:pt>
                      <c:pt idx="20">
                        <c:v>54</c:v>
                      </c:pt>
                      <c:pt idx="21">
                        <c:v>89</c:v>
                      </c:pt>
                      <c:pt idx="22">
                        <c:v>176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6D38-469E-AEBE-C11D7D5301D4}"/>
                  </c:ext>
                </c:extLst>
              </c15:ser>
            </c15:filteredBarSeries>
            <c15:filteredBar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엘오티베큠!$B$139</c15:sqref>
                        </c15:formulaRef>
                      </c:ext>
                    </c:extLst>
                    <c:strCache>
                      <c:ptCount val="1"/>
                      <c:pt idx="0">
                        <c:v> 통신비</c:v>
                      </c:pt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엘오티베큠!$C$139:$Y$139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31</c:v>
                      </c:pt>
                      <c:pt idx="1">
                        <c:v>32</c:v>
                      </c:pt>
                      <c:pt idx="2">
                        <c:v>30</c:v>
                      </c:pt>
                      <c:pt idx="3">
                        <c:v>28</c:v>
                      </c:pt>
                      <c:pt idx="4">
                        <c:v>27</c:v>
                      </c:pt>
                      <c:pt idx="5">
                        <c:v>28</c:v>
                      </c:pt>
                      <c:pt idx="6">
                        <c:v>28</c:v>
                      </c:pt>
                      <c:pt idx="7">
                        <c:v>27</c:v>
                      </c:pt>
                      <c:pt idx="8">
                        <c:v>27</c:v>
                      </c:pt>
                      <c:pt idx="9">
                        <c:v>27</c:v>
                      </c:pt>
                      <c:pt idx="10">
                        <c:v>26</c:v>
                      </c:pt>
                      <c:pt idx="11">
                        <c:v>24</c:v>
                      </c:pt>
                      <c:pt idx="12">
                        <c:v>20</c:v>
                      </c:pt>
                      <c:pt idx="13">
                        <c:v>17</c:v>
                      </c:pt>
                      <c:pt idx="14">
                        <c:v>16</c:v>
                      </c:pt>
                      <c:pt idx="15">
                        <c:v>14</c:v>
                      </c:pt>
                      <c:pt idx="16">
                        <c:v>14</c:v>
                      </c:pt>
                      <c:pt idx="17">
                        <c:v>15</c:v>
                      </c:pt>
                      <c:pt idx="18">
                        <c:v>14</c:v>
                      </c:pt>
                      <c:pt idx="19">
                        <c:v>19</c:v>
                      </c:pt>
                      <c:pt idx="20">
                        <c:v>21</c:v>
                      </c:pt>
                      <c:pt idx="21">
                        <c:v>19</c:v>
                      </c:pt>
                      <c:pt idx="22">
                        <c:v>21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6D38-469E-AEBE-C11D7D5301D4}"/>
                  </c:ext>
                </c:extLst>
              </c15:ser>
            </c15:filteredBarSeries>
            <c15:filteredBar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엘오티베큠!$B$140</c15:sqref>
                        </c15:formulaRef>
                      </c:ext>
                    </c:extLst>
                    <c:strCache>
                      <c:ptCount val="1"/>
                      <c:pt idx="0">
                        <c:v> 차량유지비</c:v>
                      </c:pt>
                    </c:strCache>
                  </c:strRef>
                </c:tx>
                <c:spPr>
                  <a:solidFill>
                    <a:schemeClr val="accent4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엘오티베큠!$C$140:$Y$140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50</c:v>
                      </c:pt>
                      <c:pt idx="1">
                        <c:v>53</c:v>
                      </c:pt>
                      <c:pt idx="2">
                        <c:v>58</c:v>
                      </c:pt>
                      <c:pt idx="3">
                        <c:v>46</c:v>
                      </c:pt>
                      <c:pt idx="4">
                        <c:v>53</c:v>
                      </c:pt>
                      <c:pt idx="5">
                        <c:v>64</c:v>
                      </c:pt>
                      <c:pt idx="6">
                        <c:v>64</c:v>
                      </c:pt>
                      <c:pt idx="7">
                        <c:v>52</c:v>
                      </c:pt>
                      <c:pt idx="8">
                        <c:v>47</c:v>
                      </c:pt>
                      <c:pt idx="9">
                        <c:v>49</c:v>
                      </c:pt>
                      <c:pt idx="10">
                        <c:v>51</c:v>
                      </c:pt>
                      <c:pt idx="11">
                        <c:v>55</c:v>
                      </c:pt>
                      <c:pt idx="12">
                        <c:v>48</c:v>
                      </c:pt>
                      <c:pt idx="13">
                        <c:v>43</c:v>
                      </c:pt>
                      <c:pt idx="14">
                        <c:v>42</c:v>
                      </c:pt>
                      <c:pt idx="15">
                        <c:v>44</c:v>
                      </c:pt>
                      <c:pt idx="16">
                        <c:v>44</c:v>
                      </c:pt>
                      <c:pt idx="17">
                        <c:v>47</c:v>
                      </c:pt>
                      <c:pt idx="18">
                        <c:v>47</c:v>
                      </c:pt>
                      <c:pt idx="19">
                        <c:v>66</c:v>
                      </c:pt>
                      <c:pt idx="20">
                        <c:v>71</c:v>
                      </c:pt>
                      <c:pt idx="21">
                        <c:v>96</c:v>
                      </c:pt>
                      <c:pt idx="22">
                        <c:v>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6D38-469E-AEBE-C11D7D5301D4}"/>
                  </c:ext>
                </c:extLst>
              </c15:ser>
            </c15:filteredBarSeries>
            <c15:filteredBar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엘오티베큠!$B$141</c15:sqref>
                        </c15:formulaRef>
                      </c:ext>
                    </c:extLst>
                    <c:strCache>
                      <c:ptCount val="1"/>
                      <c:pt idx="0">
                        <c:v> 교육훈련비</c:v>
                      </c:pt>
                    </c:strCache>
                  </c:strRef>
                </c:tx>
                <c:spPr>
                  <a:solidFill>
                    <a:schemeClr val="accent5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엘오티베큠!$C$141:$Y$141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15</c:v>
                      </c:pt>
                      <c:pt idx="1">
                        <c:v>2</c:v>
                      </c:pt>
                      <c:pt idx="2">
                        <c:v>13</c:v>
                      </c:pt>
                      <c:pt idx="3">
                        <c:v>3</c:v>
                      </c:pt>
                      <c:pt idx="4">
                        <c:v>4</c:v>
                      </c:pt>
                      <c:pt idx="5">
                        <c:v>2</c:v>
                      </c:pt>
                      <c:pt idx="6">
                        <c:v>8</c:v>
                      </c:pt>
                      <c:pt idx="7">
                        <c:v>9</c:v>
                      </c:pt>
                      <c:pt idx="8">
                        <c:v>11</c:v>
                      </c:pt>
                      <c:pt idx="9">
                        <c:v>11</c:v>
                      </c:pt>
                      <c:pt idx="10">
                        <c:v>3</c:v>
                      </c:pt>
                      <c:pt idx="11">
                        <c:v>48</c:v>
                      </c:pt>
                      <c:pt idx="12">
                        <c:v>8</c:v>
                      </c:pt>
                      <c:pt idx="13">
                        <c:v>11</c:v>
                      </c:pt>
                      <c:pt idx="14">
                        <c:v>8</c:v>
                      </c:pt>
                      <c:pt idx="15">
                        <c:v>20</c:v>
                      </c:pt>
                      <c:pt idx="16">
                        <c:v>21</c:v>
                      </c:pt>
                      <c:pt idx="17">
                        <c:v>22</c:v>
                      </c:pt>
                      <c:pt idx="18">
                        <c:v>10</c:v>
                      </c:pt>
                      <c:pt idx="19">
                        <c:v>23</c:v>
                      </c:pt>
                      <c:pt idx="20">
                        <c:v>17</c:v>
                      </c:pt>
                      <c:pt idx="21">
                        <c:v>17</c:v>
                      </c:pt>
                      <c:pt idx="22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6D38-469E-AEBE-C11D7D5301D4}"/>
                  </c:ext>
                </c:extLst>
              </c15:ser>
            </c15:filteredBarSeries>
            <c15:filteredBar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엘오티베큠!$B$142</c15:sqref>
                        </c15:formulaRef>
                      </c:ext>
                    </c:extLst>
                    <c:strCache>
                      <c:ptCount val="1"/>
                      <c:pt idx="0">
                        <c:v> 도서인쇄비</c:v>
                      </c:pt>
                    </c:strCache>
                  </c:strRef>
                </c:tx>
                <c:spPr>
                  <a:solidFill>
                    <a:schemeClr val="accent6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엘오티베큠!$C$142:$Y$142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8</c:v>
                      </c:pt>
                      <c:pt idx="1">
                        <c:v>2</c:v>
                      </c:pt>
                      <c:pt idx="2">
                        <c:v>2</c:v>
                      </c:pt>
                      <c:pt idx="3">
                        <c:v>27</c:v>
                      </c:pt>
                      <c:pt idx="4">
                        <c:v>4</c:v>
                      </c:pt>
                      <c:pt idx="5">
                        <c:v>10</c:v>
                      </c:pt>
                      <c:pt idx="6">
                        <c:v>4</c:v>
                      </c:pt>
                      <c:pt idx="7">
                        <c:v>9</c:v>
                      </c:pt>
                      <c:pt idx="8">
                        <c:v>13</c:v>
                      </c:pt>
                      <c:pt idx="9">
                        <c:v>22</c:v>
                      </c:pt>
                      <c:pt idx="10">
                        <c:v>5</c:v>
                      </c:pt>
                      <c:pt idx="11">
                        <c:v>5</c:v>
                      </c:pt>
                      <c:pt idx="12">
                        <c:v>4</c:v>
                      </c:pt>
                      <c:pt idx="13">
                        <c:v>2</c:v>
                      </c:pt>
                      <c:pt idx="14">
                        <c:v>3</c:v>
                      </c:pt>
                      <c:pt idx="15">
                        <c:v>3</c:v>
                      </c:pt>
                      <c:pt idx="16">
                        <c:v>3</c:v>
                      </c:pt>
                      <c:pt idx="17">
                        <c:v>2</c:v>
                      </c:pt>
                      <c:pt idx="18">
                        <c:v>8</c:v>
                      </c:pt>
                      <c:pt idx="19">
                        <c:v>3</c:v>
                      </c:pt>
                      <c:pt idx="20">
                        <c:v>4</c:v>
                      </c:pt>
                      <c:pt idx="21">
                        <c:v>11</c:v>
                      </c:pt>
                      <c:pt idx="22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6D38-469E-AEBE-C11D7D5301D4}"/>
                  </c:ext>
                </c:extLst>
              </c15:ser>
            </c15:filteredBarSeries>
            <c15:filteredBar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엘오티베큠!$B$145</c15:sqref>
                        </c15:formulaRef>
                      </c:ext>
                    </c:extLst>
                    <c:strCache>
                      <c:ptCount val="1"/>
                      <c:pt idx="0">
                        <c:v> 대손상각비(환입액)</c:v>
                      </c:pt>
                    </c:strCache>
                  </c:strRef>
                </c:tx>
                <c:spPr>
                  <a:solidFill>
                    <a:schemeClr val="accent3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엘오티베큠!$C$145:$Y$145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-68</c:v>
                      </c:pt>
                      <c:pt idx="1">
                        <c:v>10</c:v>
                      </c:pt>
                      <c:pt idx="2">
                        <c:v>61</c:v>
                      </c:pt>
                      <c:pt idx="3">
                        <c:v>-154</c:v>
                      </c:pt>
                      <c:pt idx="4">
                        <c:v>19</c:v>
                      </c:pt>
                      <c:pt idx="5">
                        <c:v>1</c:v>
                      </c:pt>
                      <c:pt idx="6">
                        <c:v>41</c:v>
                      </c:pt>
                      <c:pt idx="7">
                        <c:v>48</c:v>
                      </c:pt>
                      <c:pt idx="8">
                        <c:v>-49</c:v>
                      </c:pt>
                      <c:pt idx="9">
                        <c:v>-4</c:v>
                      </c:pt>
                      <c:pt idx="10">
                        <c:v>21</c:v>
                      </c:pt>
                      <c:pt idx="11">
                        <c:v>639</c:v>
                      </c:pt>
                      <c:pt idx="12">
                        <c:v>144</c:v>
                      </c:pt>
                      <c:pt idx="13">
                        <c:v>561</c:v>
                      </c:pt>
                      <c:pt idx="14">
                        <c:v>142</c:v>
                      </c:pt>
                      <c:pt idx="15">
                        <c:v>293</c:v>
                      </c:pt>
                      <c:pt idx="16">
                        <c:v>86</c:v>
                      </c:pt>
                      <c:pt idx="17">
                        <c:v>985</c:v>
                      </c:pt>
                      <c:pt idx="18">
                        <c:v>-450</c:v>
                      </c:pt>
                      <c:pt idx="19">
                        <c:v>-643</c:v>
                      </c:pt>
                      <c:pt idx="20">
                        <c:v>205</c:v>
                      </c:pt>
                      <c:pt idx="21">
                        <c:v>849</c:v>
                      </c:pt>
                      <c:pt idx="22">
                        <c:v>15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6D38-469E-AEBE-C11D7D5301D4}"/>
                  </c:ext>
                </c:extLst>
              </c15:ser>
            </c15:filteredBarSeries>
            <c15:filteredBar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엘오티베큠!$B$147</c15:sqref>
                        </c15:formulaRef>
                      </c:ext>
                    </c:extLst>
                    <c:strCache>
                      <c:ptCount val="1"/>
                      <c:pt idx="0">
                        <c:v> 접대비</c:v>
                      </c:pt>
                    </c:strCache>
                  </c:strRef>
                </c:tx>
                <c:spPr>
                  <a:solidFill>
                    <a:schemeClr val="accent5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엘오티베큠!$C$147:$Y$147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36</c:v>
                      </c:pt>
                      <c:pt idx="1">
                        <c:v>49</c:v>
                      </c:pt>
                      <c:pt idx="2">
                        <c:v>52</c:v>
                      </c:pt>
                      <c:pt idx="3">
                        <c:v>91</c:v>
                      </c:pt>
                      <c:pt idx="4">
                        <c:v>58</c:v>
                      </c:pt>
                      <c:pt idx="5">
                        <c:v>80</c:v>
                      </c:pt>
                      <c:pt idx="6">
                        <c:v>75</c:v>
                      </c:pt>
                      <c:pt idx="7">
                        <c:v>97</c:v>
                      </c:pt>
                      <c:pt idx="8">
                        <c:v>66</c:v>
                      </c:pt>
                      <c:pt idx="9">
                        <c:v>111</c:v>
                      </c:pt>
                      <c:pt idx="10">
                        <c:v>60</c:v>
                      </c:pt>
                      <c:pt idx="11">
                        <c:v>46</c:v>
                      </c:pt>
                      <c:pt idx="12">
                        <c:v>45</c:v>
                      </c:pt>
                      <c:pt idx="13">
                        <c:v>57</c:v>
                      </c:pt>
                      <c:pt idx="14">
                        <c:v>67</c:v>
                      </c:pt>
                      <c:pt idx="15">
                        <c:v>73</c:v>
                      </c:pt>
                      <c:pt idx="16">
                        <c:v>64</c:v>
                      </c:pt>
                      <c:pt idx="17">
                        <c:v>70</c:v>
                      </c:pt>
                      <c:pt idx="18">
                        <c:v>80</c:v>
                      </c:pt>
                      <c:pt idx="19">
                        <c:v>147</c:v>
                      </c:pt>
                      <c:pt idx="20">
                        <c:v>109</c:v>
                      </c:pt>
                      <c:pt idx="21">
                        <c:v>113</c:v>
                      </c:pt>
                      <c:pt idx="22">
                        <c:v>157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6D38-469E-AEBE-C11D7D5301D4}"/>
                  </c:ext>
                </c:extLst>
              </c15:ser>
            </c15:filteredBarSeries>
            <c15:filteredBar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엘오티베큠!$B$148</c15:sqref>
                        </c15:formulaRef>
                      </c:ext>
                    </c:extLst>
                    <c:strCache>
                      <c:ptCount val="1"/>
                      <c:pt idx="0">
                        <c:v> 회의비</c:v>
                      </c:pt>
                    </c:strCache>
                  </c:strRef>
                </c:tx>
                <c:spPr>
                  <a:solidFill>
                    <a:schemeClr val="accent6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엘오티베큠!$C$148:$Y$148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7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</c:v>
                      </c:pt>
                      <c:pt idx="4">
                        <c:v>0</c:v>
                      </c:pt>
                      <c:pt idx="5">
                        <c:v>2</c:v>
                      </c:pt>
                      <c:pt idx="7">
                        <c:v>0</c:v>
                      </c:pt>
                      <c:pt idx="8">
                        <c:v>11</c:v>
                      </c:pt>
                      <c:pt idx="9">
                        <c:v>2</c:v>
                      </c:pt>
                      <c:pt idx="11">
                        <c:v>6</c:v>
                      </c:pt>
                      <c:pt idx="15">
                        <c:v>0</c:v>
                      </c:pt>
                      <c:pt idx="19">
                        <c:v>0</c:v>
                      </c:pt>
                      <c:pt idx="20">
                        <c:v>3</c:v>
                      </c:pt>
                      <c:pt idx="2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6D38-469E-AEBE-C11D7D5301D4}"/>
                  </c:ext>
                </c:extLst>
              </c15:ser>
            </c15:filteredBarSeries>
            <c15:filteredBarSeries>
              <c15:ser>
                <c:idx val="24"/>
                <c:order val="2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엘오티베큠!$B$149</c15:sqref>
                        </c15:formulaRef>
                      </c:ext>
                    </c:extLst>
                    <c:strCache>
                      <c:ptCount val="1"/>
                      <c:pt idx="0">
                        <c:v> 광고선전비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엘오티베큠!$C$149:$Y$149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92</c:v>
                      </c:pt>
                      <c:pt idx="1">
                        <c:v>11</c:v>
                      </c:pt>
                      <c:pt idx="2">
                        <c:v>12</c:v>
                      </c:pt>
                      <c:pt idx="3">
                        <c:v>6</c:v>
                      </c:pt>
                      <c:pt idx="4">
                        <c:v>114</c:v>
                      </c:pt>
                      <c:pt idx="5">
                        <c:v>10</c:v>
                      </c:pt>
                      <c:pt idx="6">
                        <c:v>5</c:v>
                      </c:pt>
                      <c:pt idx="7">
                        <c:v>39</c:v>
                      </c:pt>
                      <c:pt idx="8">
                        <c:v>113</c:v>
                      </c:pt>
                      <c:pt idx="9">
                        <c:v>22</c:v>
                      </c:pt>
                      <c:pt idx="10">
                        <c:v>20</c:v>
                      </c:pt>
                      <c:pt idx="11">
                        <c:v>40</c:v>
                      </c:pt>
                      <c:pt idx="12">
                        <c:v>61</c:v>
                      </c:pt>
                      <c:pt idx="13">
                        <c:v>2</c:v>
                      </c:pt>
                      <c:pt idx="14">
                        <c:v>1</c:v>
                      </c:pt>
                      <c:pt idx="15">
                        <c:v>3</c:v>
                      </c:pt>
                      <c:pt idx="16">
                        <c:v>12</c:v>
                      </c:pt>
                      <c:pt idx="17">
                        <c:v>5</c:v>
                      </c:pt>
                      <c:pt idx="18">
                        <c:v>1</c:v>
                      </c:pt>
                      <c:pt idx="19">
                        <c:v>20</c:v>
                      </c:pt>
                      <c:pt idx="20">
                        <c:v>31</c:v>
                      </c:pt>
                      <c:pt idx="21">
                        <c:v>21</c:v>
                      </c:pt>
                      <c:pt idx="22">
                        <c:v>65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B-6D38-469E-AEBE-C11D7D5301D4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27"/>
          <c:order val="27"/>
          <c:tx>
            <c:strRef>
              <c:f>엘오티베큠!$B$154</c:f>
              <c:strCache>
                <c:ptCount val="1"/>
                <c:pt idx="0">
                  <c:v> 제품 보증비 / 판관비 비중 (%)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  <a:lumOff val="40000"/>
                </a:schemeClr>
              </a:solidFill>
              <a:ln w="9525">
                <a:solidFill>
                  <a:schemeClr val="accent4">
                    <a:lumMod val="60000"/>
                    <a:lumOff val="4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엘오티베큠!$C$154:$Y$154</c:f>
              <c:numCache>
                <c:formatCode>0.0%</c:formatCode>
                <c:ptCount val="23"/>
                <c:pt idx="0">
                  <c:v>0.24732688391038696</c:v>
                </c:pt>
                <c:pt idx="1">
                  <c:v>0.29982507288629739</c:v>
                </c:pt>
                <c:pt idx="2">
                  <c:v>0.14418338108882522</c:v>
                </c:pt>
                <c:pt idx="3">
                  <c:v>0.20031762837480149</c:v>
                </c:pt>
                <c:pt idx="4">
                  <c:v>0.18595553859364564</c:v>
                </c:pt>
                <c:pt idx="5">
                  <c:v>0.27534707614640302</c:v>
                </c:pt>
                <c:pt idx="6">
                  <c:v>0.11387789122733903</c:v>
                </c:pt>
                <c:pt idx="7">
                  <c:v>0.10224256292906178</c:v>
                </c:pt>
                <c:pt idx="8">
                  <c:v>0.15528522716800294</c:v>
                </c:pt>
                <c:pt idx="9">
                  <c:v>0.1063789691887308</c:v>
                </c:pt>
                <c:pt idx="10">
                  <c:v>0.12915692971418299</c:v>
                </c:pt>
                <c:pt idx="11">
                  <c:v>0.10517515257921578</c:v>
                </c:pt>
                <c:pt idx="12">
                  <c:v>0.15238341077267251</c:v>
                </c:pt>
                <c:pt idx="13">
                  <c:v>0.10374694031255884</c:v>
                </c:pt>
                <c:pt idx="14">
                  <c:v>0.19258932509925011</c:v>
                </c:pt>
                <c:pt idx="15">
                  <c:v>0.24672032448190634</c:v>
                </c:pt>
                <c:pt idx="16">
                  <c:v>0.20966733366683341</c:v>
                </c:pt>
                <c:pt idx="17">
                  <c:v>0.10162643737698125</c:v>
                </c:pt>
                <c:pt idx="18">
                  <c:v>0.35847933884297523</c:v>
                </c:pt>
                <c:pt idx="19">
                  <c:v>0.21463463765926374</c:v>
                </c:pt>
                <c:pt idx="20">
                  <c:v>0.25631969322367426</c:v>
                </c:pt>
                <c:pt idx="21">
                  <c:v>0.36416856964915922</c:v>
                </c:pt>
                <c:pt idx="22">
                  <c:v>0.29690681284259984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D38-469E-AEBE-C11D7D530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3130784"/>
        <c:axId val="883123712"/>
      </c:lineChart>
      <c:catAx>
        <c:axId val="89027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0272368"/>
        <c:crosses val="autoZero"/>
        <c:auto val="1"/>
        <c:lblAlgn val="ctr"/>
        <c:lblOffset val="100"/>
        <c:noMultiLvlLbl val="0"/>
      </c:catAx>
      <c:valAx>
        <c:axId val="890272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0274448"/>
        <c:crosses val="autoZero"/>
        <c:crossBetween val="between"/>
      </c:valAx>
      <c:valAx>
        <c:axId val="88312371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83130784"/>
        <c:crosses val="max"/>
        <c:crossBetween val="between"/>
      </c:valAx>
      <c:catAx>
        <c:axId val="883130784"/>
        <c:scaling>
          <c:orientation val="minMax"/>
        </c:scaling>
        <c:delete val="1"/>
        <c:axPos val="b"/>
        <c:majorTickMark val="out"/>
        <c:minorTickMark val="none"/>
        <c:tickLblPos val="nextTo"/>
        <c:crossAx val="883123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주요 제품별 매출액 </a:t>
            </a:r>
            <a:r>
              <a:rPr lang="en-US" altLang="ko-KR"/>
              <a:t>- </a:t>
            </a:r>
            <a:r>
              <a:rPr lang="ko-KR" altLang="en-US"/>
              <a:t>유지 보수 매출액 비중</a:t>
            </a:r>
            <a:r>
              <a:rPr lang="en-US" altLang="ko-KR"/>
              <a:t>(%)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엘오티베큠!$B$26</c:f>
              <c:strCache>
                <c:ptCount val="1"/>
                <c:pt idx="0">
                  <c:v> 건식 진공 펌프 제품 매출액 - 수출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엘오티베큠!$C$26:$Y$26</c:f>
              <c:numCache>
                <c:formatCode>_(* #,##0_);_(* \(#,##0\);_(* "-"_);_(@_)</c:formatCode>
                <c:ptCount val="23"/>
                <c:pt idx="0">
                  <c:v>5002</c:v>
                </c:pt>
                <c:pt idx="1">
                  <c:v>12144</c:v>
                </c:pt>
                <c:pt idx="2">
                  <c:v>2803</c:v>
                </c:pt>
                <c:pt idx="3">
                  <c:v>563</c:v>
                </c:pt>
                <c:pt idx="4">
                  <c:v>2071</c:v>
                </c:pt>
                <c:pt idx="5">
                  <c:v>6103</c:v>
                </c:pt>
                <c:pt idx="6">
                  <c:v>1632</c:v>
                </c:pt>
                <c:pt idx="7">
                  <c:v>4515</c:v>
                </c:pt>
                <c:pt idx="8">
                  <c:v>8765</c:v>
                </c:pt>
                <c:pt idx="9">
                  <c:v>5868</c:v>
                </c:pt>
                <c:pt idx="10">
                  <c:v>13514</c:v>
                </c:pt>
                <c:pt idx="11">
                  <c:v>18734</c:v>
                </c:pt>
                <c:pt idx="12">
                  <c:v>13253</c:v>
                </c:pt>
                <c:pt idx="13">
                  <c:v>4335</c:v>
                </c:pt>
                <c:pt idx="14">
                  <c:v>5167</c:v>
                </c:pt>
                <c:pt idx="15">
                  <c:v>8546</c:v>
                </c:pt>
                <c:pt idx="16">
                  <c:v>24680</c:v>
                </c:pt>
                <c:pt idx="17">
                  <c:v>30448</c:v>
                </c:pt>
                <c:pt idx="18">
                  <c:v>7881</c:v>
                </c:pt>
                <c:pt idx="19">
                  <c:v>11189</c:v>
                </c:pt>
                <c:pt idx="20">
                  <c:v>22739</c:v>
                </c:pt>
                <c:pt idx="21">
                  <c:v>25386</c:v>
                </c:pt>
                <c:pt idx="22">
                  <c:v>44812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07-4D5B-ABCE-79002FC2BA7A}"/>
            </c:ext>
          </c:extLst>
        </c:ser>
        <c:ser>
          <c:idx val="1"/>
          <c:order val="1"/>
          <c:tx>
            <c:strRef>
              <c:f>엘오티베큠!$B$27</c:f>
              <c:strCache>
                <c:ptCount val="1"/>
                <c:pt idx="0">
                  <c:v> 건식 진공 펌프 제품 매출액 - 내수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엘오티베큠!$C$27:$Y$27</c:f>
              <c:numCache>
                <c:formatCode>_(* #,##0_);_(* \(#,##0\);_(* "-"_);_(@_)</c:formatCode>
                <c:ptCount val="23"/>
                <c:pt idx="0">
                  <c:v>24554</c:v>
                </c:pt>
                <c:pt idx="1">
                  <c:v>39910</c:v>
                </c:pt>
                <c:pt idx="2">
                  <c:v>29399</c:v>
                </c:pt>
                <c:pt idx="3">
                  <c:v>28086</c:v>
                </c:pt>
                <c:pt idx="4">
                  <c:v>33515</c:v>
                </c:pt>
                <c:pt idx="5">
                  <c:v>30876</c:v>
                </c:pt>
                <c:pt idx="6">
                  <c:v>13236</c:v>
                </c:pt>
                <c:pt idx="7">
                  <c:v>13790</c:v>
                </c:pt>
                <c:pt idx="8">
                  <c:v>11355</c:v>
                </c:pt>
                <c:pt idx="9">
                  <c:v>12446</c:v>
                </c:pt>
                <c:pt idx="10">
                  <c:v>6860</c:v>
                </c:pt>
                <c:pt idx="11">
                  <c:v>14272</c:v>
                </c:pt>
                <c:pt idx="12">
                  <c:v>23647</c:v>
                </c:pt>
                <c:pt idx="13">
                  <c:v>20157</c:v>
                </c:pt>
                <c:pt idx="14">
                  <c:v>18396</c:v>
                </c:pt>
                <c:pt idx="15">
                  <c:v>11406</c:v>
                </c:pt>
                <c:pt idx="16">
                  <c:v>28476</c:v>
                </c:pt>
                <c:pt idx="17">
                  <c:v>30598</c:v>
                </c:pt>
                <c:pt idx="18">
                  <c:v>25927</c:v>
                </c:pt>
                <c:pt idx="19">
                  <c:v>27681</c:v>
                </c:pt>
                <c:pt idx="20">
                  <c:v>34487</c:v>
                </c:pt>
                <c:pt idx="21">
                  <c:v>34673</c:v>
                </c:pt>
                <c:pt idx="22">
                  <c:v>35538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07-4D5B-ABCE-79002FC2BA7A}"/>
            </c:ext>
          </c:extLst>
        </c:ser>
        <c:ser>
          <c:idx val="4"/>
          <c:order val="4"/>
          <c:tx>
            <c:strRef>
              <c:f>엘오티베큠!$B$30</c:f>
              <c:strCache>
                <c:ptCount val="1"/>
                <c:pt idx="0">
                  <c:v> 수선 보수 - 수출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엘오티베큠!$C$30:$Y$30</c:f>
              <c:numCache>
                <c:formatCode>_(* #,##0_);_(* \(#,##0\);_(* "-"_);_(@_)</c:formatCode>
                <c:ptCount val="23"/>
                <c:pt idx="0">
                  <c:v>2297</c:v>
                </c:pt>
                <c:pt idx="1">
                  <c:v>2909</c:v>
                </c:pt>
                <c:pt idx="2">
                  <c:v>3434</c:v>
                </c:pt>
                <c:pt idx="3">
                  <c:v>3730</c:v>
                </c:pt>
                <c:pt idx="4">
                  <c:v>4293</c:v>
                </c:pt>
                <c:pt idx="5">
                  <c:v>4089</c:v>
                </c:pt>
                <c:pt idx="6">
                  <c:v>4207</c:v>
                </c:pt>
                <c:pt idx="7">
                  <c:v>4018</c:v>
                </c:pt>
                <c:pt idx="8">
                  <c:v>4119</c:v>
                </c:pt>
                <c:pt idx="9">
                  <c:v>2563</c:v>
                </c:pt>
                <c:pt idx="10">
                  <c:v>2348</c:v>
                </c:pt>
                <c:pt idx="11">
                  <c:v>2155</c:v>
                </c:pt>
                <c:pt idx="12">
                  <c:v>2878</c:v>
                </c:pt>
                <c:pt idx="13">
                  <c:v>2966</c:v>
                </c:pt>
                <c:pt idx="14">
                  <c:v>3371</c:v>
                </c:pt>
                <c:pt idx="15">
                  <c:v>3704</c:v>
                </c:pt>
                <c:pt idx="16">
                  <c:v>5549</c:v>
                </c:pt>
                <c:pt idx="17">
                  <c:v>3383</c:v>
                </c:pt>
                <c:pt idx="18">
                  <c:v>3260</c:v>
                </c:pt>
                <c:pt idx="19">
                  <c:v>5384</c:v>
                </c:pt>
                <c:pt idx="20">
                  <c:v>3566</c:v>
                </c:pt>
                <c:pt idx="21">
                  <c:v>4460</c:v>
                </c:pt>
                <c:pt idx="22">
                  <c:v>5602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D07-4D5B-ABCE-79002FC2BA7A}"/>
            </c:ext>
          </c:extLst>
        </c:ser>
        <c:ser>
          <c:idx val="5"/>
          <c:order val="5"/>
          <c:tx>
            <c:strRef>
              <c:f>엘오티베큠!$B$31</c:f>
              <c:strCache>
                <c:ptCount val="1"/>
                <c:pt idx="0">
                  <c:v> 수선 보수 - 내수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엘오티베큠!$C$31:$Y$31</c:f>
              <c:numCache>
                <c:formatCode>_(* #,##0_);_(* \(#,##0\);_(* "-"_);_(@_)</c:formatCode>
                <c:ptCount val="23"/>
                <c:pt idx="0">
                  <c:v>7579</c:v>
                </c:pt>
                <c:pt idx="1">
                  <c:v>8883</c:v>
                </c:pt>
                <c:pt idx="2">
                  <c:v>9553</c:v>
                </c:pt>
                <c:pt idx="3">
                  <c:v>8376</c:v>
                </c:pt>
                <c:pt idx="4">
                  <c:v>9398</c:v>
                </c:pt>
                <c:pt idx="5">
                  <c:v>10092</c:v>
                </c:pt>
                <c:pt idx="6">
                  <c:v>8639</c:v>
                </c:pt>
                <c:pt idx="7">
                  <c:v>12220</c:v>
                </c:pt>
                <c:pt idx="8">
                  <c:v>10908</c:v>
                </c:pt>
                <c:pt idx="9">
                  <c:v>9332</c:v>
                </c:pt>
                <c:pt idx="10">
                  <c:v>10563</c:v>
                </c:pt>
                <c:pt idx="11">
                  <c:v>9822</c:v>
                </c:pt>
                <c:pt idx="12">
                  <c:v>12321</c:v>
                </c:pt>
                <c:pt idx="13">
                  <c:v>12243</c:v>
                </c:pt>
                <c:pt idx="14">
                  <c:v>11532</c:v>
                </c:pt>
                <c:pt idx="15">
                  <c:v>12289</c:v>
                </c:pt>
                <c:pt idx="16">
                  <c:v>12977</c:v>
                </c:pt>
                <c:pt idx="17">
                  <c:v>12743</c:v>
                </c:pt>
                <c:pt idx="18">
                  <c:v>11477</c:v>
                </c:pt>
                <c:pt idx="19">
                  <c:v>12457</c:v>
                </c:pt>
                <c:pt idx="20">
                  <c:v>12896</c:v>
                </c:pt>
                <c:pt idx="21">
                  <c:v>19014</c:v>
                </c:pt>
                <c:pt idx="22">
                  <c:v>16932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D07-4D5B-ABCE-79002FC2B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08638320"/>
        <c:axId val="100863873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엘오티베큠!$B$28</c15:sqref>
                        </c15:formulaRef>
                      </c:ext>
                    </c:extLst>
                    <c:strCache>
                      <c:ptCount val="1"/>
                      <c:pt idx="0">
                        <c:v> 플라즈마 전처리 시스템 (상품) 매출액 - 수출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엘오티베큠!$C$25:$Y$25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엘오티베큠!$C$28:$Y$28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0">
                        <c:v>424</c:v>
                      </c:pt>
                      <c:pt idx="1">
                        <c:v>994</c:v>
                      </c:pt>
                      <c:pt idx="2">
                        <c:v>506</c:v>
                      </c:pt>
                      <c:pt idx="3">
                        <c:v>798</c:v>
                      </c:pt>
                      <c:pt idx="4">
                        <c:v>1266</c:v>
                      </c:pt>
                      <c:pt idx="5">
                        <c:v>16</c:v>
                      </c:pt>
                      <c:pt idx="6">
                        <c:v>598</c:v>
                      </c:pt>
                      <c:pt idx="7">
                        <c:v>-576</c:v>
                      </c:pt>
                      <c:pt idx="8">
                        <c:v>124</c:v>
                      </c:pt>
                      <c:pt idx="9">
                        <c:v>3</c:v>
                      </c:pt>
                      <c:pt idx="10">
                        <c:v>0</c:v>
                      </c:pt>
                      <c:pt idx="11">
                        <c:v>52</c:v>
                      </c:pt>
                      <c:pt idx="12">
                        <c:v>584</c:v>
                      </c:pt>
                      <c:pt idx="13">
                        <c:v>-578</c:v>
                      </c:pt>
                      <c:pt idx="14">
                        <c:v>305</c:v>
                      </c:pt>
                      <c:pt idx="15">
                        <c:v>-304</c:v>
                      </c:pt>
                      <c:pt idx="16">
                        <c:v>47</c:v>
                      </c:pt>
                      <c:pt idx="17">
                        <c:v>895</c:v>
                      </c:pt>
                      <c:pt idx="18">
                        <c:v>-19</c:v>
                      </c:pt>
                      <c:pt idx="19">
                        <c:v>106</c:v>
                      </c:pt>
                      <c:pt idx="20">
                        <c:v>7</c:v>
                      </c:pt>
                      <c:pt idx="21">
                        <c:v>154</c:v>
                      </c:pt>
                      <c:pt idx="22">
                        <c:v>-34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D07-4D5B-ABCE-79002FC2BA7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엘오티베큠!$B$29</c15:sqref>
                        </c15:formulaRef>
                      </c:ext>
                    </c:extLst>
                    <c:strCache>
                      <c:ptCount val="1"/>
                      <c:pt idx="0">
                        <c:v> 플라즈마 전처리 시스템 (상품) 매출액 - 내수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엘오티베큠!$C$25:$Y$25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엘오티베큠!$C$29:$Y$29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0">
                        <c:v>1772</c:v>
                      </c:pt>
                      <c:pt idx="1">
                        <c:v>2449</c:v>
                      </c:pt>
                      <c:pt idx="2">
                        <c:v>2146</c:v>
                      </c:pt>
                      <c:pt idx="3">
                        <c:v>2434</c:v>
                      </c:pt>
                      <c:pt idx="4">
                        <c:v>1208</c:v>
                      </c:pt>
                      <c:pt idx="5">
                        <c:v>1792</c:v>
                      </c:pt>
                      <c:pt idx="6">
                        <c:v>1317</c:v>
                      </c:pt>
                      <c:pt idx="7">
                        <c:v>999</c:v>
                      </c:pt>
                      <c:pt idx="8">
                        <c:v>883</c:v>
                      </c:pt>
                      <c:pt idx="9">
                        <c:v>1332</c:v>
                      </c:pt>
                      <c:pt idx="10">
                        <c:v>2129</c:v>
                      </c:pt>
                      <c:pt idx="11">
                        <c:v>2099</c:v>
                      </c:pt>
                      <c:pt idx="12">
                        <c:v>2169</c:v>
                      </c:pt>
                      <c:pt idx="13">
                        <c:v>2563</c:v>
                      </c:pt>
                      <c:pt idx="14">
                        <c:v>233</c:v>
                      </c:pt>
                      <c:pt idx="15">
                        <c:v>56</c:v>
                      </c:pt>
                      <c:pt idx="16">
                        <c:v>976</c:v>
                      </c:pt>
                      <c:pt idx="17">
                        <c:v>-184</c:v>
                      </c:pt>
                      <c:pt idx="18">
                        <c:v>2789</c:v>
                      </c:pt>
                      <c:pt idx="19">
                        <c:v>876</c:v>
                      </c:pt>
                      <c:pt idx="20">
                        <c:v>1354</c:v>
                      </c:pt>
                      <c:pt idx="21">
                        <c:v>515</c:v>
                      </c:pt>
                      <c:pt idx="22">
                        <c:v>818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D07-4D5B-ABCE-79002FC2BA7A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7"/>
          <c:order val="7"/>
          <c:tx>
            <c:strRef>
              <c:f>엘오티베큠!$B$36</c:f>
              <c:strCache>
                <c:ptCount val="1"/>
                <c:pt idx="0">
                  <c:v> 매출액 중 수선 보수 비율(%)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엘오티베큠!$C$36:$Y$36</c:f>
              <c:numCache>
                <c:formatCode>0.0%</c:formatCode>
                <c:ptCount val="23"/>
                <c:pt idx="0">
                  <c:v>0.23724416258287692</c:v>
                </c:pt>
                <c:pt idx="1">
                  <c:v>0.17524409636047497</c:v>
                </c:pt>
                <c:pt idx="2">
                  <c:v>0.27146171693735499</c:v>
                </c:pt>
                <c:pt idx="3">
                  <c:v>0.2752176779503035</c:v>
                </c:pt>
                <c:pt idx="4">
                  <c:v>0.26455527429421655</c:v>
                </c:pt>
                <c:pt idx="5">
                  <c:v>0.26772768463978253</c:v>
                </c:pt>
                <c:pt idx="6">
                  <c:v>0.43356171318640518</c:v>
                </c:pt>
                <c:pt idx="7">
                  <c:v>0.46439398272607674</c:v>
                </c:pt>
                <c:pt idx="8">
                  <c:v>0.41563865685677931</c:v>
                </c:pt>
                <c:pt idx="9">
                  <c:v>0.37709231549581534</c:v>
                </c:pt>
                <c:pt idx="10">
                  <c:v>0.36457333258033547</c:v>
                </c:pt>
                <c:pt idx="11">
                  <c:v>0.25410531675648151</c:v>
                </c:pt>
                <c:pt idx="12">
                  <c:v>0.27709108145555311</c:v>
                </c:pt>
                <c:pt idx="13">
                  <c:v>0.3648467111260375</c:v>
                </c:pt>
                <c:pt idx="14">
                  <c:v>0.38208901651112709</c:v>
                </c:pt>
                <c:pt idx="15">
                  <c:v>0.44802084208757037</c:v>
                </c:pt>
                <c:pt idx="16">
                  <c:v>0.25481053572656626</c:v>
                </c:pt>
                <c:pt idx="17">
                  <c:v>0.20705417100008988</c:v>
                </c:pt>
                <c:pt idx="18">
                  <c:v>0.28718698236383122</c:v>
                </c:pt>
                <c:pt idx="19">
                  <c:v>0.30924028911653062</c:v>
                </c:pt>
                <c:pt idx="20">
                  <c:v>0.21935002465056164</c:v>
                </c:pt>
                <c:pt idx="21">
                  <c:v>0.27878197667513838</c:v>
                </c:pt>
                <c:pt idx="22">
                  <c:v>0.21736697920283984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D07-4D5B-ABCE-79002FC2B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6246768"/>
        <c:axId val="696246352"/>
        <c:extLst>
          <c:ext xmlns:c15="http://schemas.microsoft.com/office/drawing/2012/chart" uri="{02D57815-91ED-43cb-92C2-25804820EDAC}">
            <c15:filteredLineSeries>
              <c15:ser>
                <c:idx val="6"/>
                <c:order val="6"/>
                <c:tx>
                  <c:strRef>
                    <c:extLst>
                      <c:ext uri="{02D57815-91ED-43cb-92C2-25804820EDAC}">
                        <c15:formulaRef>
                          <c15:sqref>엘오티베큠!$B$35</c15:sqref>
                        </c15:formulaRef>
                      </c:ext>
                    </c:extLst>
                    <c:strCache>
                      <c:ptCount val="1"/>
                      <c:pt idx="0">
                        <c:v> 매출액 중 수출 비율(%)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60000"/>
                      </a:schemeClr>
                    </a:solidFill>
                    <a:ln w="9525">
                      <a:solidFill>
                        <a:schemeClr val="accent1">
                          <a:lumMod val="60000"/>
                        </a:schemeClr>
                      </a:solidFill>
                    </a:ln>
                    <a:effectLst/>
                  </c:spPr>
                </c:marker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ko-KR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>
                      <c:ext uri="{02D57815-91ED-43cb-92C2-25804820EDAC}">
                        <c15:formulaRef>
                          <c15:sqref>엘오티베큠!$C$35:$Y$35</c15:sqref>
                        </c15:formulaRef>
                      </c:ext>
                    </c:extLst>
                    <c:numCache>
                      <c:formatCode>0.0%</c:formatCode>
                      <c:ptCount val="23"/>
                      <c:pt idx="0">
                        <c:v>0.18552416642644373</c:v>
                      </c:pt>
                      <c:pt idx="1">
                        <c:v>0.23847880039828204</c:v>
                      </c:pt>
                      <c:pt idx="2">
                        <c:v>0.14094605045881148</c:v>
                      </c:pt>
                      <c:pt idx="3">
                        <c:v>0.11573874099165662</c:v>
                      </c:pt>
                      <c:pt idx="4">
                        <c:v>0.14743676450696605</c:v>
                      </c:pt>
                      <c:pt idx="5">
                        <c:v>0.19272013291043649</c:v>
                      </c:pt>
                      <c:pt idx="6">
                        <c:v>0.21725336663404096</c:v>
                      </c:pt>
                      <c:pt idx="7">
                        <c:v>0.22756391923582908</c:v>
                      </c:pt>
                      <c:pt idx="8">
                        <c:v>0.3597942136416441</c:v>
                      </c:pt>
                      <c:pt idx="9">
                        <c:v>0.26737255896525486</c:v>
                      </c:pt>
                      <c:pt idx="10">
                        <c:v>0.44790195967696389</c:v>
                      </c:pt>
                      <c:pt idx="11">
                        <c:v>0.44428650231255568</c:v>
                      </c:pt>
                      <c:pt idx="12">
                        <c:v>0.30472908918544445</c:v>
                      </c:pt>
                      <c:pt idx="13">
                        <c:v>0.16127716739432904</c:v>
                      </c:pt>
                      <c:pt idx="14">
                        <c:v>0.22672033637575634</c:v>
                      </c:pt>
                      <c:pt idx="15">
                        <c:v>0.33464997058576351</c:v>
                      </c:pt>
                      <c:pt idx="16">
                        <c:v>0.41642252939962865</c:v>
                      </c:pt>
                      <c:pt idx="17">
                        <c:v>0.44587393911379891</c:v>
                      </c:pt>
                      <c:pt idx="18">
                        <c:v>0.21673974471402124</c:v>
                      </c:pt>
                      <c:pt idx="19">
                        <c:v>0.28909919747629698</c:v>
                      </c:pt>
                      <c:pt idx="20">
                        <c:v>0.35059760956175301</c:v>
                      </c:pt>
                      <c:pt idx="21">
                        <c:v>0.35628607396498896</c:v>
                      </c:pt>
                      <c:pt idx="22">
                        <c:v>0.48597445692016822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5D07-4D5B-ABCE-79002FC2BA7A}"/>
                  </c:ext>
                </c:extLst>
              </c15:ser>
            </c15:filteredLineSeries>
          </c:ext>
        </c:extLst>
      </c:lineChart>
      <c:catAx>
        <c:axId val="1008638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8638736"/>
        <c:crosses val="autoZero"/>
        <c:auto val="1"/>
        <c:lblAlgn val="ctr"/>
        <c:lblOffset val="100"/>
        <c:noMultiLvlLbl val="0"/>
      </c:catAx>
      <c:valAx>
        <c:axId val="100863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8638320"/>
        <c:crosses val="autoZero"/>
        <c:crossBetween val="between"/>
      </c:valAx>
      <c:valAx>
        <c:axId val="69624635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96246768"/>
        <c:crosses val="max"/>
        <c:crossBetween val="between"/>
      </c:valAx>
      <c:catAx>
        <c:axId val="696246768"/>
        <c:scaling>
          <c:orientation val="minMax"/>
        </c:scaling>
        <c:delete val="1"/>
        <c:axPos val="b"/>
        <c:majorTickMark val="out"/>
        <c:minorTickMark val="none"/>
        <c:tickLblPos val="nextTo"/>
        <c:crossAx val="696246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주요 제품별 매출액 </a:t>
            </a:r>
            <a:r>
              <a:rPr lang="en-US" altLang="ko-KR"/>
              <a:t>- </a:t>
            </a:r>
            <a:r>
              <a:rPr lang="ko-KR" altLang="en-US"/>
              <a:t>수출 비중</a:t>
            </a:r>
            <a:r>
              <a:rPr lang="en-US" altLang="ko-KR"/>
              <a:t>(%)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엘오티베큠!$B$26</c:f>
              <c:strCache>
                <c:ptCount val="1"/>
                <c:pt idx="0">
                  <c:v> 건식 진공 펌프 제품 매출액 - 수출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엘오티베큠!$C$26:$Y$26</c:f>
              <c:numCache>
                <c:formatCode>_(* #,##0_);_(* \(#,##0\);_(* "-"_);_(@_)</c:formatCode>
                <c:ptCount val="23"/>
                <c:pt idx="0">
                  <c:v>5002</c:v>
                </c:pt>
                <c:pt idx="1">
                  <c:v>12144</c:v>
                </c:pt>
                <c:pt idx="2">
                  <c:v>2803</c:v>
                </c:pt>
                <c:pt idx="3">
                  <c:v>563</c:v>
                </c:pt>
                <c:pt idx="4">
                  <c:v>2071</c:v>
                </c:pt>
                <c:pt idx="5">
                  <c:v>6103</c:v>
                </c:pt>
                <c:pt idx="6">
                  <c:v>1632</c:v>
                </c:pt>
                <c:pt idx="7">
                  <c:v>4515</c:v>
                </c:pt>
                <c:pt idx="8">
                  <c:v>8765</c:v>
                </c:pt>
                <c:pt idx="9">
                  <c:v>5868</c:v>
                </c:pt>
                <c:pt idx="10">
                  <c:v>13514</c:v>
                </c:pt>
                <c:pt idx="11">
                  <c:v>18734</c:v>
                </c:pt>
                <c:pt idx="12">
                  <c:v>13253</c:v>
                </c:pt>
                <c:pt idx="13">
                  <c:v>4335</c:v>
                </c:pt>
                <c:pt idx="14">
                  <c:v>5167</c:v>
                </c:pt>
                <c:pt idx="15">
                  <c:v>8546</c:v>
                </c:pt>
                <c:pt idx="16">
                  <c:v>24680</c:v>
                </c:pt>
                <c:pt idx="17">
                  <c:v>30448</c:v>
                </c:pt>
                <c:pt idx="18">
                  <c:v>7881</c:v>
                </c:pt>
                <c:pt idx="19">
                  <c:v>11189</c:v>
                </c:pt>
                <c:pt idx="20">
                  <c:v>22739</c:v>
                </c:pt>
                <c:pt idx="21">
                  <c:v>25386</c:v>
                </c:pt>
                <c:pt idx="22">
                  <c:v>44812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D7-484D-AB4D-A1D2B96FBEE3}"/>
            </c:ext>
          </c:extLst>
        </c:ser>
        <c:ser>
          <c:idx val="1"/>
          <c:order val="1"/>
          <c:tx>
            <c:strRef>
              <c:f>엘오티베큠!$B$27</c:f>
              <c:strCache>
                <c:ptCount val="1"/>
                <c:pt idx="0">
                  <c:v> 건식 진공 펌프 제품 매출액 - 내수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엘오티베큠!$C$27:$Y$27</c:f>
              <c:numCache>
                <c:formatCode>_(* #,##0_);_(* \(#,##0\);_(* "-"_);_(@_)</c:formatCode>
                <c:ptCount val="23"/>
                <c:pt idx="0">
                  <c:v>24554</c:v>
                </c:pt>
                <c:pt idx="1">
                  <c:v>39910</c:v>
                </c:pt>
                <c:pt idx="2">
                  <c:v>29399</c:v>
                </c:pt>
                <c:pt idx="3">
                  <c:v>28086</c:v>
                </c:pt>
                <c:pt idx="4">
                  <c:v>33515</c:v>
                </c:pt>
                <c:pt idx="5">
                  <c:v>30876</c:v>
                </c:pt>
                <c:pt idx="6">
                  <c:v>13236</c:v>
                </c:pt>
                <c:pt idx="7">
                  <c:v>13790</c:v>
                </c:pt>
                <c:pt idx="8">
                  <c:v>11355</c:v>
                </c:pt>
                <c:pt idx="9">
                  <c:v>12446</c:v>
                </c:pt>
                <c:pt idx="10">
                  <c:v>6860</c:v>
                </c:pt>
                <c:pt idx="11">
                  <c:v>14272</c:v>
                </c:pt>
                <c:pt idx="12">
                  <c:v>23647</c:v>
                </c:pt>
                <c:pt idx="13">
                  <c:v>20157</c:v>
                </c:pt>
                <c:pt idx="14">
                  <c:v>18396</c:v>
                </c:pt>
                <c:pt idx="15">
                  <c:v>11406</c:v>
                </c:pt>
                <c:pt idx="16">
                  <c:v>28476</c:v>
                </c:pt>
                <c:pt idx="17">
                  <c:v>30598</c:v>
                </c:pt>
                <c:pt idx="18">
                  <c:v>25927</c:v>
                </c:pt>
                <c:pt idx="19">
                  <c:v>27681</c:v>
                </c:pt>
                <c:pt idx="20">
                  <c:v>34487</c:v>
                </c:pt>
                <c:pt idx="21">
                  <c:v>34673</c:v>
                </c:pt>
                <c:pt idx="22">
                  <c:v>35538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D7-484D-AB4D-A1D2B96FBEE3}"/>
            </c:ext>
          </c:extLst>
        </c:ser>
        <c:ser>
          <c:idx val="4"/>
          <c:order val="4"/>
          <c:tx>
            <c:strRef>
              <c:f>엘오티베큠!$B$30</c:f>
              <c:strCache>
                <c:ptCount val="1"/>
                <c:pt idx="0">
                  <c:v> 수선 보수 - 수출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엘오티베큠!$C$30:$Y$30</c:f>
              <c:numCache>
                <c:formatCode>_(* #,##0_);_(* \(#,##0\);_(* "-"_);_(@_)</c:formatCode>
                <c:ptCount val="23"/>
                <c:pt idx="0">
                  <c:v>2297</c:v>
                </c:pt>
                <c:pt idx="1">
                  <c:v>2909</c:v>
                </c:pt>
                <c:pt idx="2">
                  <c:v>3434</c:v>
                </c:pt>
                <c:pt idx="3">
                  <c:v>3730</c:v>
                </c:pt>
                <c:pt idx="4">
                  <c:v>4293</c:v>
                </c:pt>
                <c:pt idx="5">
                  <c:v>4089</c:v>
                </c:pt>
                <c:pt idx="6">
                  <c:v>4207</c:v>
                </c:pt>
                <c:pt idx="7">
                  <c:v>4018</c:v>
                </c:pt>
                <c:pt idx="8">
                  <c:v>4119</c:v>
                </c:pt>
                <c:pt idx="9">
                  <c:v>2563</c:v>
                </c:pt>
                <c:pt idx="10">
                  <c:v>2348</c:v>
                </c:pt>
                <c:pt idx="11">
                  <c:v>2155</c:v>
                </c:pt>
                <c:pt idx="12">
                  <c:v>2878</c:v>
                </c:pt>
                <c:pt idx="13">
                  <c:v>2966</c:v>
                </c:pt>
                <c:pt idx="14">
                  <c:v>3371</c:v>
                </c:pt>
                <c:pt idx="15">
                  <c:v>3704</c:v>
                </c:pt>
                <c:pt idx="16">
                  <c:v>5549</c:v>
                </c:pt>
                <c:pt idx="17">
                  <c:v>3383</c:v>
                </c:pt>
                <c:pt idx="18">
                  <c:v>3260</c:v>
                </c:pt>
                <c:pt idx="19">
                  <c:v>5384</c:v>
                </c:pt>
                <c:pt idx="20">
                  <c:v>3566</c:v>
                </c:pt>
                <c:pt idx="21">
                  <c:v>4460</c:v>
                </c:pt>
                <c:pt idx="22">
                  <c:v>5602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D7-484D-AB4D-A1D2B96FBEE3}"/>
            </c:ext>
          </c:extLst>
        </c:ser>
        <c:ser>
          <c:idx val="5"/>
          <c:order val="5"/>
          <c:tx>
            <c:strRef>
              <c:f>엘오티베큠!$B$31</c:f>
              <c:strCache>
                <c:ptCount val="1"/>
                <c:pt idx="0">
                  <c:v> 수선 보수 - 내수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엘오티베큠!$C$31:$Y$31</c:f>
              <c:numCache>
                <c:formatCode>_(* #,##0_);_(* \(#,##0\);_(* "-"_);_(@_)</c:formatCode>
                <c:ptCount val="23"/>
                <c:pt idx="0">
                  <c:v>7579</c:v>
                </c:pt>
                <c:pt idx="1">
                  <c:v>8883</c:v>
                </c:pt>
                <c:pt idx="2">
                  <c:v>9553</c:v>
                </c:pt>
                <c:pt idx="3">
                  <c:v>8376</c:v>
                </c:pt>
                <c:pt idx="4">
                  <c:v>9398</c:v>
                </c:pt>
                <c:pt idx="5">
                  <c:v>10092</c:v>
                </c:pt>
                <c:pt idx="6">
                  <c:v>8639</c:v>
                </c:pt>
                <c:pt idx="7">
                  <c:v>12220</c:v>
                </c:pt>
                <c:pt idx="8">
                  <c:v>10908</c:v>
                </c:pt>
                <c:pt idx="9">
                  <c:v>9332</c:v>
                </c:pt>
                <c:pt idx="10">
                  <c:v>10563</c:v>
                </c:pt>
                <c:pt idx="11">
                  <c:v>9822</c:v>
                </c:pt>
                <c:pt idx="12">
                  <c:v>12321</c:v>
                </c:pt>
                <c:pt idx="13">
                  <c:v>12243</c:v>
                </c:pt>
                <c:pt idx="14">
                  <c:v>11532</c:v>
                </c:pt>
                <c:pt idx="15">
                  <c:v>12289</c:v>
                </c:pt>
                <c:pt idx="16">
                  <c:v>12977</c:v>
                </c:pt>
                <c:pt idx="17">
                  <c:v>12743</c:v>
                </c:pt>
                <c:pt idx="18">
                  <c:v>11477</c:v>
                </c:pt>
                <c:pt idx="19">
                  <c:v>12457</c:v>
                </c:pt>
                <c:pt idx="20">
                  <c:v>12896</c:v>
                </c:pt>
                <c:pt idx="21">
                  <c:v>19014</c:v>
                </c:pt>
                <c:pt idx="22">
                  <c:v>16932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D7-484D-AB4D-A1D2B96FB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08638320"/>
        <c:axId val="100863873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엘오티베큠!$B$28</c15:sqref>
                        </c15:formulaRef>
                      </c:ext>
                    </c:extLst>
                    <c:strCache>
                      <c:ptCount val="1"/>
                      <c:pt idx="0">
                        <c:v> 플라즈마 전처리 시스템 (상품) 매출액 - 수출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엘오티베큠!$C$25:$Y$25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엘오티베큠!$C$28:$Y$28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0">
                        <c:v>424</c:v>
                      </c:pt>
                      <c:pt idx="1">
                        <c:v>994</c:v>
                      </c:pt>
                      <c:pt idx="2">
                        <c:v>506</c:v>
                      </c:pt>
                      <c:pt idx="3">
                        <c:v>798</c:v>
                      </c:pt>
                      <c:pt idx="4">
                        <c:v>1266</c:v>
                      </c:pt>
                      <c:pt idx="5">
                        <c:v>16</c:v>
                      </c:pt>
                      <c:pt idx="6">
                        <c:v>598</c:v>
                      </c:pt>
                      <c:pt idx="7">
                        <c:v>-576</c:v>
                      </c:pt>
                      <c:pt idx="8">
                        <c:v>124</c:v>
                      </c:pt>
                      <c:pt idx="9">
                        <c:v>3</c:v>
                      </c:pt>
                      <c:pt idx="10">
                        <c:v>0</c:v>
                      </c:pt>
                      <c:pt idx="11">
                        <c:v>52</c:v>
                      </c:pt>
                      <c:pt idx="12">
                        <c:v>584</c:v>
                      </c:pt>
                      <c:pt idx="13">
                        <c:v>-578</c:v>
                      </c:pt>
                      <c:pt idx="14">
                        <c:v>305</c:v>
                      </c:pt>
                      <c:pt idx="15">
                        <c:v>-304</c:v>
                      </c:pt>
                      <c:pt idx="16">
                        <c:v>47</c:v>
                      </c:pt>
                      <c:pt idx="17">
                        <c:v>895</c:v>
                      </c:pt>
                      <c:pt idx="18">
                        <c:v>-19</c:v>
                      </c:pt>
                      <c:pt idx="19">
                        <c:v>106</c:v>
                      </c:pt>
                      <c:pt idx="20">
                        <c:v>7</c:v>
                      </c:pt>
                      <c:pt idx="21">
                        <c:v>154</c:v>
                      </c:pt>
                      <c:pt idx="22">
                        <c:v>-34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D6D7-484D-AB4D-A1D2B96FBEE3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엘오티베큠!$B$29</c15:sqref>
                        </c15:formulaRef>
                      </c:ext>
                    </c:extLst>
                    <c:strCache>
                      <c:ptCount val="1"/>
                      <c:pt idx="0">
                        <c:v> 플라즈마 전처리 시스템 (상품) 매출액 - 내수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엘오티베큠!$C$25:$Y$25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엘오티베큠!$C$29:$Y$29</c15:sqref>
                        </c15:formulaRef>
                      </c:ext>
                    </c:extLst>
                    <c:numCache>
                      <c:formatCode>_(* #,##0_);_(* \(#,##0\);_(* "-"_);_(@_)</c:formatCode>
                      <c:ptCount val="23"/>
                      <c:pt idx="0">
                        <c:v>1772</c:v>
                      </c:pt>
                      <c:pt idx="1">
                        <c:v>2449</c:v>
                      </c:pt>
                      <c:pt idx="2">
                        <c:v>2146</c:v>
                      </c:pt>
                      <c:pt idx="3">
                        <c:v>2434</c:v>
                      </c:pt>
                      <c:pt idx="4">
                        <c:v>1208</c:v>
                      </c:pt>
                      <c:pt idx="5">
                        <c:v>1792</c:v>
                      </c:pt>
                      <c:pt idx="6">
                        <c:v>1317</c:v>
                      </c:pt>
                      <c:pt idx="7">
                        <c:v>999</c:v>
                      </c:pt>
                      <c:pt idx="8">
                        <c:v>883</c:v>
                      </c:pt>
                      <c:pt idx="9">
                        <c:v>1332</c:v>
                      </c:pt>
                      <c:pt idx="10">
                        <c:v>2129</c:v>
                      </c:pt>
                      <c:pt idx="11">
                        <c:v>2099</c:v>
                      </c:pt>
                      <c:pt idx="12">
                        <c:v>2169</c:v>
                      </c:pt>
                      <c:pt idx="13">
                        <c:v>2563</c:v>
                      </c:pt>
                      <c:pt idx="14">
                        <c:v>233</c:v>
                      </c:pt>
                      <c:pt idx="15">
                        <c:v>56</c:v>
                      </c:pt>
                      <c:pt idx="16">
                        <c:v>976</c:v>
                      </c:pt>
                      <c:pt idx="17">
                        <c:v>-184</c:v>
                      </c:pt>
                      <c:pt idx="18">
                        <c:v>2789</c:v>
                      </c:pt>
                      <c:pt idx="19">
                        <c:v>876</c:v>
                      </c:pt>
                      <c:pt idx="20">
                        <c:v>1354</c:v>
                      </c:pt>
                      <c:pt idx="21">
                        <c:v>515</c:v>
                      </c:pt>
                      <c:pt idx="22">
                        <c:v>818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D6D7-484D-AB4D-A1D2B96FBEE3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6"/>
          <c:order val="6"/>
          <c:tx>
            <c:strRef>
              <c:f>엘오티베큠!$B$35</c:f>
              <c:strCache>
                <c:ptCount val="1"/>
                <c:pt idx="0">
                  <c:v> 매출액 중 수출 비율(%)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엘오티베큠!$C$35:$Y$35</c:f>
              <c:numCache>
                <c:formatCode>0.0%</c:formatCode>
                <c:ptCount val="23"/>
                <c:pt idx="0">
                  <c:v>0.18552416642644373</c:v>
                </c:pt>
                <c:pt idx="1">
                  <c:v>0.23847880039828204</c:v>
                </c:pt>
                <c:pt idx="2">
                  <c:v>0.14094605045881148</c:v>
                </c:pt>
                <c:pt idx="3">
                  <c:v>0.11573874099165662</c:v>
                </c:pt>
                <c:pt idx="4">
                  <c:v>0.14743676450696605</c:v>
                </c:pt>
                <c:pt idx="5">
                  <c:v>0.19272013291043649</c:v>
                </c:pt>
                <c:pt idx="6">
                  <c:v>0.21725336663404096</c:v>
                </c:pt>
                <c:pt idx="7">
                  <c:v>0.22756391923582908</c:v>
                </c:pt>
                <c:pt idx="8">
                  <c:v>0.3597942136416441</c:v>
                </c:pt>
                <c:pt idx="9">
                  <c:v>0.26737255896525486</c:v>
                </c:pt>
                <c:pt idx="10">
                  <c:v>0.44790195967696389</c:v>
                </c:pt>
                <c:pt idx="11">
                  <c:v>0.44428650231255568</c:v>
                </c:pt>
                <c:pt idx="12">
                  <c:v>0.30472908918544445</c:v>
                </c:pt>
                <c:pt idx="13">
                  <c:v>0.16127716739432904</c:v>
                </c:pt>
                <c:pt idx="14">
                  <c:v>0.22672033637575634</c:v>
                </c:pt>
                <c:pt idx="15">
                  <c:v>0.33464997058576351</c:v>
                </c:pt>
                <c:pt idx="16">
                  <c:v>0.41642252939962865</c:v>
                </c:pt>
                <c:pt idx="17">
                  <c:v>0.44587393911379891</c:v>
                </c:pt>
                <c:pt idx="18">
                  <c:v>0.21673974471402124</c:v>
                </c:pt>
                <c:pt idx="19">
                  <c:v>0.28909919747629698</c:v>
                </c:pt>
                <c:pt idx="20">
                  <c:v>0.35059760956175301</c:v>
                </c:pt>
                <c:pt idx="21">
                  <c:v>0.35628607396498896</c:v>
                </c:pt>
                <c:pt idx="22">
                  <c:v>0.48597445692016822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6D7-484D-AB4D-A1D2B96FB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6246768"/>
        <c:axId val="696246352"/>
        <c:extLst>
          <c:ext xmlns:c15="http://schemas.microsoft.com/office/drawing/2012/chart" uri="{02D57815-91ED-43cb-92C2-25804820EDAC}">
            <c15:filteredLineSeries>
              <c15:ser>
                <c:idx val="7"/>
                <c:order val="7"/>
                <c:tx>
                  <c:strRef>
                    <c:extLst>
                      <c:ext uri="{02D57815-91ED-43cb-92C2-25804820EDAC}">
                        <c15:formulaRef>
                          <c15:sqref>엘오티베큠!$B$36</c15:sqref>
                        </c15:formulaRef>
                      </c:ext>
                    </c:extLst>
                    <c:strCache>
                      <c:ptCount val="1"/>
                      <c:pt idx="0">
                        <c:v> 매출액 중 수선 보수 비율(%)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ko-KR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>
                      <c:ext uri="{02D57815-91ED-43cb-92C2-25804820EDAC}">
                        <c15:formulaRef>
                          <c15:sqref>엘오티베큠!$C$36:$Y$36</c15:sqref>
                        </c15:formulaRef>
                      </c:ext>
                    </c:extLst>
                    <c:numCache>
                      <c:formatCode>0.0%</c:formatCode>
                      <c:ptCount val="23"/>
                      <c:pt idx="0">
                        <c:v>0.23724416258287692</c:v>
                      </c:pt>
                      <c:pt idx="1">
                        <c:v>0.17524409636047497</c:v>
                      </c:pt>
                      <c:pt idx="2">
                        <c:v>0.27146171693735499</c:v>
                      </c:pt>
                      <c:pt idx="3">
                        <c:v>0.2752176779503035</c:v>
                      </c:pt>
                      <c:pt idx="4">
                        <c:v>0.26455527429421655</c:v>
                      </c:pt>
                      <c:pt idx="5">
                        <c:v>0.26772768463978253</c:v>
                      </c:pt>
                      <c:pt idx="6">
                        <c:v>0.43356171318640518</c:v>
                      </c:pt>
                      <c:pt idx="7">
                        <c:v>0.46439398272607674</c:v>
                      </c:pt>
                      <c:pt idx="8">
                        <c:v>0.41563865685677931</c:v>
                      </c:pt>
                      <c:pt idx="9">
                        <c:v>0.37709231549581534</c:v>
                      </c:pt>
                      <c:pt idx="10">
                        <c:v>0.36457333258033547</c:v>
                      </c:pt>
                      <c:pt idx="11">
                        <c:v>0.25410531675648151</c:v>
                      </c:pt>
                      <c:pt idx="12">
                        <c:v>0.27709108145555311</c:v>
                      </c:pt>
                      <c:pt idx="13">
                        <c:v>0.3648467111260375</c:v>
                      </c:pt>
                      <c:pt idx="14">
                        <c:v>0.38208901651112709</c:v>
                      </c:pt>
                      <c:pt idx="15">
                        <c:v>0.44802084208757037</c:v>
                      </c:pt>
                      <c:pt idx="16">
                        <c:v>0.25481053572656626</c:v>
                      </c:pt>
                      <c:pt idx="17">
                        <c:v>0.20705417100008988</c:v>
                      </c:pt>
                      <c:pt idx="18">
                        <c:v>0.28718698236383122</c:v>
                      </c:pt>
                      <c:pt idx="19">
                        <c:v>0.30924028911653062</c:v>
                      </c:pt>
                      <c:pt idx="20">
                        <c:v>0.21935002465056164</c:v>
                      </c:pt>
                      <c:pt idx="21">
                        <c:v>0.27878197667513838</c:v>
                      </c:pt>
                      <c:pt idx="22">
                        <c:v>0.21736697920283984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D6D7-484D-AB4D-A1D2B96FBEE3}"/>
                  </c:ext>
                </c:extLst>
              </c15:ser>
            </c15:filteredLineSeries>
          </c:ext>
        </c:extLst>
      </c:lineChart>
      <c:catAx>
        <c:axId val="1008638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8638736"/>
        <c:crosses val="autoZero"/>
        <c:auto val="1"/>
        <c:lblAlgn val="ctr"/>
        <c:lblOffset val="100"/>
        <c:noMultiLvlLbl val="0"/>
      </c:catAx>
      <c:valAx>
        <c:axId val="100863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8638320"/>
        <c:crosses val="autoZero"/>
        <c:crossBetween val="between"/>
      </c:valAx>
      <c:valAx>
        <c:axId val="69624635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96246768"/>
        <c:crosses val="max"/>
        <c:crossBetween val="between"/>
      </c:valAx>
      <c:catAx>
        <c:axId val="696246768"/>
        <c:scaling>
          <c:orientation val="minMax"/>
        </c:scaling>
        <c:delete val="1"/>
        <c:axPos val="b"/>
        <c:majorTickMark val="out"/>
        <c:minorTickMark val="none"/>
        <c:tickLblPos val="nextTo"/>
        <c:crossAx val="696246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엘오티베큠!$B$38</c:f>
              <c:strCache>
                <c:ptCount val="1"/>
                <c:pt idx="0">
                  <c:v> 생산실적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엘오티베큠!$C$38:$Y$38</c:f>
              <c:numCache>
                <c:formatCode>_(* #,##0_);_(* \(#,##0\);_(* "-"_);_(@_)</c:formatCode>
                <c:ptCount val="23"/>
                <c:pt idx="0">
                  <c:v>730</c:v>
                </c:pt>
                <c:pt idx="1">
                  <c:v>1352</c:v>
                </c:pt>
                <c:pt idx="2">
                  <c:v>829</c:v>
                </c:pt>
                <c:pt idx="3">
                  <c:v>602</c:v>
                </c:pt>
                <c:pt idx="4">
                  <c:v>940</c:v>
                </c:pt>
                <c:pt idx="5">
                  <c:v>907</c:v>
                </c:pt>
                <c:pt idx="6">
                  <c:v>276</c:v>
                </c:pt>
                <c:pt idx="7">
                  <c:v>548</c:v>
                </c:pt>
                <c:pt idx="8">
                  <c:v>718</c:v>
                </c:pt>
                <c:pt idx="9">
                  <c:v>707</c:v>
                </c:pt>
                <c:pt idx="10">
                  <c:v>653</c:v>
                </c:pt>
                <c:pt idx="11">
                  <c:v>832</c:v>
                </c:pt>
                <c:pt idx="12">
                  <c:v>840</c:v>
                </c:pt>
                <c:pt idx="13">
                  <c:v>0</c:v>
                </c:pt>
                <c:pt idx="14">
                  <c:v>1392</c:v>
                </c:pt>
                <c:pt idx="15">
                  <c:v>1598</c:v>
                </c:pt>
                <c:pt idx="16">
                  <c:v>2063</c:v>
                </c:pt>
                <c:pt idx="17">
                  <c:v>2315</c:v>
                </c:pt>
                <c:pt idx="18">
                  <c:v>762</c:v>
                </c:pt>
                <c:pt idx="19">
                  <c:v>1616</c:v>
                </c:pt>
                <c:pt idx="20">
                  <c:v>2033</c:v>
                </c:pt>
                <c:pt idx="21">
                  <c:v>2261</c:v>
                </c:pt>
                <c:pt idx="22">
                  <c:v>3185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B9-4C65-9A5D-6E7D41E081F1}"/>
            </c:ext>
          </c:extLst>
        </c:ser>
        <c:ser>
          <c:idx val="1"/>
          <c:order val="1"/>
          <c:tx>
            <c:strRef>
              <c:f>엘오티베큠!$B$39</c:f>
              <c:strCache>
                <c:ptCount val="1"/>
                <c:pt idx="0">
                  <c:v> 수선보수 실적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엘오티베큠!$C$25:$Y$25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엘오티베큠!$C$39:$Y$39</c:f>
              <c:numCache>
                <c:formatCode>_(* #,##0_);_(* \(#,##0\);_(* "-"_);_(@_)</c:formatCode>
                <c:ptCount val="23"/>
                <c:pt idx="0">
                  <c:v>1503</c:v>
                </c:pt>
                <c:pt idx="1">
                  <c:v>2057</c:v>
                </c:pt>
                <c:pt idx="2">
                  <c:v>1803</c:v>
                </c:pt>
                <c:pt idx="3">
                  <c:v>1735</c:v>
                </c:pt>
                <c:pt idx="4">
                  <c:v>2001</c:v>
                </c:pt>
                <c:pt idx="5">
                  <c:v>2297</c:v>
                </c:pt>
                <c:pt idx="6">
                  <c:v>999</c:v>
                </c:pt>
                <c:pt idx="7">
                  <c:v>3489</c:v>
                </c:pt>
                <c:pt idx="8">
                  <c:v>2318</c:v>
                </c:pt>
                <c:pt idx="9">
                  <c:v>1867</c:v>
                </c:pt>
                <c:pt idx="10">
                  <c:v>2087</c:v>
                </c:pt>
                <c:pt idx="11">
                  <c:v>1216</c:v>
                </c:pt>
                <c:pt idx="12">
                  <c:v>1966</c:v>
                </c:pt>
                <c:pt idx="13">
                  <c:v>1958</c:v>
                </c:pt>
                <c:pt idx="14">
                  <c:v>2086</c:v>
                </c:pt>
                <c:pt idx="15">
                  <c:v>1990</c:v>
                </c:pt>
                <c:pt idx="16">
                  <c:v>2219</c:v>
                </c:pt>
                <c:pt idx="17">
                  <c:v>2365</c:v>
                </c:pt>
                <c:pt idx="18">
                  <c:v>1645</c:v>
                </c:pt>
                <c:pt idx="19">
                  <c:v>1</c:v>
                </c:pt>
                <c:pt idx="20">
                  <c:v>2335</c:v>
                </c:pt>
                <c:pt idx="21">
                  <c:v>2645</c:v>
                </c:pt>
                <c:pt idx="22">
                  <c:v>541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B9-4C65-9A5D-6E7D41E081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4858992"/>
        <c:axId val="1404854832"/>
      </c:lineChart>
      <c:catAx>
        <c:axId val="1404858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04854832"/>
        <c:crosses val="autoZero"/>
        <c:auto val="1"/>
        <c:lblAlgn val="ctr"/>
        <c:lblOffset val="100"/>
        <c:noMultiLvlLbl val="0"/>
      </c:catAx>
      <c:valAx>
        <c:axId val="1404854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04858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7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 sz="1700"/>
              <a:t>외주가공비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7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엘오티베큠!$B$86</c:f>
              <c:strCache>
                <c:ptCount val="1"/>
                <c:pt idx="0">
                  <c:v>(주)엘오티머트리얼즈 매출액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엘오티베큠!$C$86:$Y$86</c:f>
              <c:numCache>
                <c:formatCode>#,##0_ ;[Red]\-#,##0\ </c:formatCode>
                <c:ptCount val="23"/>
                <c:pt idx="0">
                  <c:v>2011</c:v>
                </c:pt>
                <c:pt idx="1">
                  <c:v>2171</c:v>
                </c:pt>
                <c:pt idx="2">
                  <c:v>2004</c:v>
                </c:pt>
                <c:pt idx="3">
                  <c:v>1129</c:v>
                </c:pt>
                <c:pt idx="4">
                  <c:v>3342</c:v>
                </c:pt>
                <c:pt idx="5">
                  <c:v>1806</c:v>
                </c:pt>
                <c:pt idx="6" formatCode="_(* #,##0_);_(* \(#,##0\);_(* &quot;-&quot;_);_(@_)">
                  <c:v>1342</c:v>
                </c:pt>
                <c:pt idx="7">
                  <c:v>1803</c:v>
                </c:pt>
                <c:pt idx="8">
                  <c:v>2242</c:v>
                </c:pt>
                <c:pt idx="9">
                  <c:v>1245</c:v>
                </c:pt>
                <c:pt idx="10">
                  <c:v>1877</c:v>
                </c:pt>
                <c:pt idx="11">
                  <c:v>7272</c:v>
                </c:pt>
                <c:pt idx="12">
                  <c:v>2935</c:v>
                </c:pt>
                <c:pt idx="13">
                  <c:v>2222</c:v>
                </c:pt>
                <c:pt idx="14">
                  <c:v>4649</c:v>
                </c:pt>
                <c:pt idx="15">
                  <c:v>6765</c:v>
                </c:pt>
                <c:pt idx="16">
                  <c:v>8518</c:v>
                </c:pt>
                <c:pt idx="17">
                  <c:v>9769</c:v>
                </c:pt>
                <c:pt idx="18">
                  <c:v>6610</c:v>
                </c:pt>
                <c:pt idx="19">
                  <c:v>7963</c:v>
                </c:pt>
                <c:pt idx="20">
                  <c:v>8157</c:v>
                </c:pt>
                <c:pt idx="21">
                  <c:v>17432</c:v>
                </c:pt>
                <c:pt idx="22">
                  <c:v>29607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AB-4D0F-8CA1-983EC2906164}"/>
            </c:ext>
          </c:extLst>
        </c:ser>
        <c:ser>
          <c:idx val="2"/>
          <c:order val="2"/>
          <c:tx>
            <c:strRef>
              <c:f>엘오티베큠!$B$88</c:f>
              <c:strCache>
                <c:ptCount val="1"/>
                <c:pt idx="0">
                  <c:v>(주)엘오티씨이에스(*2)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엘오티베큠!$C$88:$Y$88</c:f>
              <c:numCache>
                <c:formatCode>#,##0_ ;[Red]\-#,##0\ </c:formatCode>
                <c:ptCount val="23"/>
                <c:pt idx="0">
                  <c:v>1868</c:v>
                </c:pt>
                <c:pt idx="1">
                  <c:v>2680</c:v>
                </c:pt>
                <c:pt idx="2">
                  <c:v>1115</c:v>
                </c:pt>
                <c:pt idx="3">
                  <c:v>1260</c:v>
                </c:pt>
                <c:pt idx="4">
                  <c:v>1561</c:v>
                </c:pt>
                <c:pt idx="5">
                  <c:v>1872</c:v>
                </c:pt>
                <c:pt idx="6" formatCode="_(* #,##0_);_(* \(#,##0\);_(* &quot;-&quot;_);_(@_)">
                  <c:v>1667</c:v>
                </c:pt>
                <c:pt idx="7">
                  <c:v>1148</c:v>
                </c:pt>
                <c:pt idx="8">
                  <c:v>780</c:v>
                </c:pt>
                <c:pt idx="9">
                  <c:v>1469</c:v>
                </c:pt>
                <c:pt idx="10">
                  <c:v>2178</c:v>
                </c:pt>
                <c:pt idx="11">
                  <c:v>5392</c:v>
                </c:pt>
                <c:pt idx="12">
                  <c:v>2054</c:v>
                </c:pt>
                <c:pt idx="13">
                  <c:v>2531</c:v>
                </c:pt>
                <c:pt idx="14">
                  <c:v>1799</c:v>
                </c:pt>
                <c:pt idx="15">
                  <c:v>696</c:v>
                </c:pt>
                <c:pt idx="16">
                  <c:v>1679</c:v>
                </c:pt>
                <c:pt idx="17">
                  <c:v>2080</c:v>
                </c:pt>
                <c:pt idx="18">
                  <c:v>2708</c:v>
                </c:pt>
                <c:pt idx="19">
                  <c:v>1970</c:v>
                </c:pt>
                <c:pt idx="20">
                  <c:v>10571</c:v>
                </c:pt>
                <c:pt idx="21">
                  <c:v>20169</c:v>
                </c:pt>
                <c:pt idx="22">
                  <c:v>31665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AB-4D0F-8CA1-983EC2906164}"/>
            </c:ext>
          </c:extLst>
        </c:ser>
        <c:ser>
          <c:idx val="3"/>
          <c:order val="3"/>
          <c:tx>
            <c:strRef>
              <c:f>엘오티베큠!$B$89</c:f>
              <c:strCache>
                <c:ptCount val="1"/>
                <c:pt idx="0">
                  <c:v>(주)엘오티티에스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엘오티베큠!$C$89:$Y$89</c:f>
              <c:numCache>
                <c:formatCode>#,##0_ ;[Red]\-#,##0\ </c:formatCode>
                <c:ptCount val="23"/>
                <c:pt idx="18">
                  <c:v>1067</c:v>
                </c:pt>
                <c:pt idx="19">
                  <c:v>7462</c:v>
                </c:pt>
                <c:pt idx="20">
                  <c:v>9268</c:v>
                </c:pt>
                <c:pt idx="21">
                  <c:v>22348</c:v>
                </c:pt>
                <c:pt idx="22">
                  <c:v>34904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AB-4D0F-8CA1-983EC2906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94910128"/>
        <c:axId val="94893488"/>
      </c:barChart>
      <c:lineChart>
        <c:grouping val="standard"/>
        <c:varyColors val="0"/>
        <c:ser>
          <c:idx val="0"/>
          <c:order val="0"/>
          <c:tx>
            <c:strRef>
              <c:f>엘오티베큠!$B$111</c:f>
              <c:strCache>
                <c:ptCount val="1"/>
                <c:pt idx="0">
                  <c:v>외주가공비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엘오티베큠!$C$84:$Y$84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엘오티베큠!$C$111:$Y$111</c:f>
              <c:numCache>
                <c:formatCode>#,##0_ ;[Red]\-#,##0\ </c:formatCode>
                <c:ptCount val="23"/>
                <c:pt idx="0">
                  <c:v>5975</c:v>
                </c:pt>
                <c:pt idx="1">
                  <c:v>6965</c:v>
                </c:pt>
                <c:pt idx="2">
                  <c:v>1568</c:v>
                </c:pt>
                <c:pt idx="3">
                  <c:v>-787</c:v>
                </c:pt>
                <c:pt idx="4">
                  <c:v>2014</c:v>
                </c:pt>
                <c:pt idx="5">
                  <c:v>1975</c:v>
                </c:pt>
                <c:pt idx="6">
                  <c:v>1332</c:v>
                </c:pt>
                <c:pt idx="7">
                  <c:v>1626</c:v>
                </c:pt>
                <c:pt idx="8">
                  <c:v>1958</c:v>
                </c:pt>
                <c:pt idx="9">
                  <c:v>1375</c:v>
                </c:pt>
                <c:pt idx="10">
                  <c:v>1628</c:v>
                </c:pt>
                <c:pt idx="11">
                  <c:v>1341</c:v>
                </c:pt>
                <c:pt idx="12">
                  <c:v>2990</c:v>
                </c:pt>
                <c:pt idx="13">
                  <c:v>5766</c:v>
                </c:pt>
                <c:pt idx="14">
                  <c:v>5237</c:v>
                </c:pt>
                <c:pt idx="15">
                  <c:v>9373</c:v>
                </c:pt>
                <c:pt idx="16">
                  <c:v>7518</c:v>
                </c:pt>
                <c:pt idx="17">
                  <c:v>7932</c:v>
                </c:pt>
                <c:pt idx="18">
                  <c:v>7351</c:v>
                </c:pt>
                <c:pt idx="19">
                  <c:v>4297</c:v>
                </c:pt>
                <c:pt idx="20">
                  <c:v>10139</c:v>
                </c:pt>
                <c:pt idx="21">
                  <c:v>11265</c:v>
                </c:pt>
                <c:pt idx="22">
                  <c:v>15441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CAB-4D0F-8CA1-983EC29061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3670384"/>
        <c:axId val="1483682032"/>
      </c:lineChart>
      <c:catAx>
        <c:axId val="94910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4893488"/>
        <c:crosses val="autoZero"/>
        <c:auto val="1"/>
        <c:lblAlgn val="ctr"/>
        <c:lblOffset val="100"/>
        <c:noMultiLvlLbl val="0"/>
      </c:catAx>
      <c:valAx>
        <c:axId val="9489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4910128"/>
        <c:crosses val="autoZero"/>
        <c:crossBetween val="between"/>
      </c:valAx>
      <c:valAx>
        <c:axId val="1483682032"/>
        <c:scaling>
          <c:orientation val="minMax"/>
        </c:scaling>
        <c:delete val="0"/>
        <c:axPos val="r"/>
        <c:numFmt formatCode="#,##0_ ;[Red]\-#,##0\ 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83670384"/>
        <c:crosses val="max"/>
        <c:crossBetween val="between"/>
      </c:valAx>
      <c:catAx>
        <c:axId val="1483670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8368203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제품 보증비 </a:t>
            </a:r>
            <a:r>
              <a:rPr lang="en-US" altLang="ko-KR"/>
              <a:t>- </a:t>
            </a:r>
            <a:r>
              <a:rPr lang="ko-KR" altLang="en-US"/>
              <a:t>판관비율 조합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21"/>
          <c:order val="21"/>
          <c:tx>
            <c:strRef>
              <c:f>엘오티베큠!$B$146</c:f>
              <c:strCache>
                <c:ptCount val="1"/>
                <c:pt idx="0">
                  <c:v> 제품보증비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엘오티베큠!$C$124:$Y$124</c:f>
              <c:strCache>
                <c:ptCount val="23"/>
                <c:pt idx="0">
                  <c:v> 17.1q</c:v>
                </c:pt>
                <c:pt idx="1">
                  <c:v> 17.2q</c:v>
                </c:pt>
                <c:pt idx="2">
                  <c:v> 17.3q</c:v>
                </c:pt>
                <c:pt idx="3">
                  <c:v> 17.4q</c:v>
                </c:pt>
                <c:pt idx="4">
                  <c:v> 18.1q</c:v>
                </c:pt>
                <c:pt idx="5">
                  <c:v> 18.2q</c:v>
                </c:pt>
                <c:pt idx="6">
                  <c:v> 18.3q</c:v>
                </c:pt>
                <c:pt idx="7">
                  <c:v> 18.4q</c:v>
                </c:pt>
                <c:pt idx="8">
                  <c:v> 19.1q</c:v>
                </c:pt>
                <c:pt idx="9">
                  <c:v> 19.2q</c:v>
                </c:pt>
                <c:pt idx="10">
                  <c:v> 19.3q</c:v>
                </c:pt>
                <c:pt idx="11">
                  <c:v> 19.4q</c:v>
                </c:pt>
                <c:pt idx="12">
                  <c:v> 20.1q</c:v>
                </c:pt>
                <c:pt idx="13">
                  <c:v> 20.2q</c:v>
                </c:pt>
                <c:pt idx="14">
                  <c:v> 20.3q</c:v>
                </c:pt>
                <c:pt idx="15">
                  <c:v> 20.4q</c:v>
                </c:pt>
                <c:pt idx="16">
                  <c:v> 21.1q</c:v>
                </c:pt>
                <c:pt idx="17">
                  <c:v> 21.2q</c:v>
                </c:pt>
                <c:pt idx="18">
                  <c:v> 21.3q</c:v>
                </c:pt>
                <c:pt idx="19">
                  <c:v> 21.4q</c:v>
                </c:pt>
                <c:pt idx="20">
                  <c:v> 22.1q</c:v>
                </c:pt>
                <c:pt idx="21">
                  <c:v> 22.2q</c:v>
                </c:pt>
                <c:pt idx="22">
                  <c:v> 22.3q</c:v>
                </c:pt>
              </c:strCache>
            </c:strRef>
          </c:cat>
          <c:val>
            <c:numRef>
              <c:f>엘오티베큠!$C$146:$Y$146</c:f>
              <c:numCache>
                <c:formatCode>#,##0_ ;[Red]\-#,##0\ </c:formatCode>
                <c:ptCount val="23"/>
                <c:pt idx="0">
                  <c:v>1943</c:v>
                </c:pt>
                <c:pt idx="1">
                  <c:v>2571</c:v>
                </c:pt>
                <c:pt idx="2">
                  <c:v>1258</c:v>
                </c:pt>
                <c:pt idx="3">
                  <c:v>1892</c:v>
                </c:pt>
                <c:pt idx="4">
                  <c:v>1949</c:v>
                </c:pt>
                <c:pt idx="5">
                  <c:v>2618</c:v>
                </c:pt>
                <c:pt idx="6">
                  <c:v>1093</c:v>
                </c:pt>
                <c:pt idx="7">
                  <c:v>1117</c:v>
                </c:pt>
                <c:pt idx="8">
                  <c:v>1685</c:v>
                </c:pt>
                <c:pt idx="9">
                  <c:v>1129</c:v>
                </c:pt>
                <c:pt idx="10">
                  <c:v>1437</c:v>
                </c:pt>
                <c:pt idx="11">
                  <c:v>1258</c:v>
                </c:pt>
                <c:pt idx="12">
                  <c:v>1771</c:v>
                </c:pt>
                <c:pt idx="13">
                  <c:v>1102</c:v>
                </c:pt>
                <c:pt idx="14">
                  <c:v>2183</c:v>
                </c:pt>
                <c:pt idx="15">
                  <c:v>3893</c:v>
                </c:pt>
                <c:pt idx="16">
                  <c:v>3353</c:v>
                </c:pt>
                <c:pt idx="17">
                  <c:v>1962</c:v>
                </c:pt>
                <c:pt idx="18">
                  <c:v>5422</c:v>
                </c:pt>
                <c:pt idx="19">
                  <c:v>4262</c:v>
                </c:pt>
                <c:pt idx="20">
                  <c:v>5080</c:v>
                </c:pt>
                <c:pt idx="21">
                  <c:v>8771</c:v>
                </c:pt>
                <c:pt idx="22">
                  <c:v>7583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67-47C4-A748-0E2AE67327AB}"/>
            </c:ext>
          </c:extLst>
        </c:ser>
        <c:ser>
          <c:idx val="29"/>
          <c:order val="29"/>
          <c:tx>
            <c:strRef>
              <c:f>엘오티베큠!$B$6</c:f>
              <c:strCache>
                <c:ptCount val="1"/>
                <c:pt idx="0">
                  <c:v> 매출액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엘오티베큠!$C$6:$Y$6</c:f>
              <c:numCache>
                <c:formatCode>_-* #,##0_-;\-* #,##0_-;_-* "-"_-;_-@</c:formatCode>
                <c:ptCount val="23"/>
                <c:pt idx="0">
                  <c:v>41628</c:v>
                </c:pt>
                <c:pt idx="1">
                  <c:v>67288</c:v>
                </c:pt>
                <c:pt idx="2">
                  <c:v>47841</c:v>
                </c:pt>
                <c:pt idx="3">
                  <c:v>43988</c:v>
                </c:pt>
                <c:pt idx="4">
                  <c:v>51750</c:v>
                </c:pt>
                <c:pt idx="5">
                  <c:v>52968</c:v>
                </c:pt>
                <c:pt idx="6">
                  <c:v>29628</c:v>
                </c:pt>
                <c:pt idx="7">
                  <c:v>34968</c:v>
                </c:pt>
                <c:pt idx="8">
                  <c:v>36153</c:v>
                </c:pt>
                <c:pt idx="9">
                  <c:v>31544</c:v>
                </c:pt>
                <c:pt idx="10">
                  <c:v>35413</c:v>
                </c:pt>
                <c:pt idx="11">
                  <c:v>47135</c:v>
                </c:pt>
                <c:pt idx="12">
                  <c:v>54852</c:v>
                </c:pt>
                <c:pt idx="13">
                  <c:v>41685</c:v>
                </c:pt>
                <c:pt idx="14">
                  <c:v>43004</c:v>
                </c:pt>
                <c:pt idx="15">
                  <c:v>31698</c:v>
                </c:pt>
                <c:pt idx="16">
                  <c:v>72704</c:v>
                </c:pt>
                <c:pt idx="17">
                  <c:v>77883</c:v>
                </c:pt>
                <c:pt idx="18">
                  <c:v>51315</c:v>
                </c:pt>
                <c:pt idx="19">
                  <c:v>57694</c:v>
                </c:pt>
                <c:pt idx="20">
                  <c:v>75049</c:v>
                </c:pt>
                <c:pt idx="21">
                  <c:v>84201</c:v>
                </c:pt>
                <c:pt idx="22">
                  <c:v>103664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8E67-47C4-A748-0E2AE67327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0274448"/>
        <c:axId val="89027236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엘오티베큠!$B$125</c15:sqref>
                        </c15:formulaRef>
                      </c:ext>
                    </c:extLst>
                    <c:strCache>
                      <c:ptCount val="1"/>
                      <c:pt idx="0">
                        <c:v> 급여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엘오티베큠!$C$125:$Y$125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1886</c:v>
                      </c:pt>
                      <c:pt idx="1">
                        <c:v>1994</c:v>
                      </c:pt>
                      <c:pt idx="2">
                        <c:v>2017</c:v>
                      </c:pt>
                      <c:pt idx="3">
                        <c:v>2007</c:v>
                      </c:pt>
                      <c:pt idx="4">
                        <c:v>2169</c:v>
                      </c:pt>
                      <c:pt idx="5">
                        <c:v>2263</c:v>
                      </c:pt>
                      <c:pt idx="6">
                        <c:v>2368</c:v>
                      </c:pt>
                      <c:pt idx="7">
                        <c:v>2636</c:v>
                      </c:pt>
                      <c:pt idx="8">
                        <c:v>2594</c:v>
                      </c:pt>
                      <c:pt idx="9">
                        <c:v>2665</c:v>
                      </c:pt>
                      <c:pt idx="10">
                        <c:v>2653</c:v>
                      </c:pt>
                      <c:pt idx="11">
                        <c:v>2874</c:v>
                      </c:pt>
                      <c:pt idx="12">
                        <c:v>2809</c:v>
                      </c:pt>
                      <c:pt idx="13">
                        <c:v>2911</c:v>
                      </c:pt>
                      <c:pt idx="14">
                        <c:v>2759</c:v>
                      </c:pt>
                      <c:pt idx="15">
                        <c:v>2672</c:v>
                      </c:pt>
                      <c:pt idx="16">
                        <c:v>3107</c:v>
                      </c:pt>
                      <c:pt idx="17">
                        <c:v>2974</c:v>
                      </c:pt>
                      <c:pt idx="18">
                        <c:v>3246</c:v>
                      </c:pt>
                      <c:pt idx="19">
                        <c:v>3425</c:v>
                      </c:pt>
                      <c:pt idx="20">
                        <c:v>4410</c:v>
                      </c:pt>
                      <c:pt idx="21">
                        <c:v>4313</c:v>
                      </c:pt>
                      <c:pt idx="22">
                        <c:v>4718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8E67-47C4-A748-0E2AE67327AB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엘오티베큠!$B$126</c15:sqref>
                        </c15:formulaRef>
                      </c:ext>
                    </c:extLst>
                    <c:strCache>
                      <c:ptCount val="1"/>
                      <c:pt idx="0">
                        <c:v> 상여금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엘오티베큠!$C$126:$Y$126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411</c:v>
                      </c:pt>
                      <c:pt idx="1">
                        <c:v>52</c:v>
                      </c:pt>
                      <c:pt idx="2">
                        <c:v>677</c:v>
                      </c:pt>
                      <c:pt idx="3">
                        <c:v>733</c:v>
                      </c:pt>
                      <c:pt idx="4">
                        <c:v>946</c:v>
                      </c:pt>
                      <c:pt idx="5">
                        <c:v>56</c:v>
                      </c:pt>
                      <c:pt idx="6">
                        <c:v>352</c:v>
                      </c:pt>
                      <c:pt idx="7">
                        <c:v>878</c:v>
                      </c:pt>
                      <c:pt idx="8">
                        <c:v>583</c:v>
                      </c:pt>
                      <c:pt idx="9">
                        <c:v>44</c:v>
                      </c:pt>
                      <c:pt idx="10">
                        <c:v>-75</c:v>
                      </c:pt>
                      <c:pt idx="11">
                        <c:v>6</c:v>
                      </c:pt>
                      <c:pt idx="12">
                        <c:v>454</c:v>
                      </c:pt>
                      <c:pt idx="13">
                        <c:v>46</c:v>
                      </c:pt>
                      <c:pt idx="14">
                        <c:v>83</c:v>
                      </c:pt>
                      <c:pt idx="15">
                        <c:v>1035</c:v>
                      </c:pt>
                      <c:pt idx="16">
                        <c:v>1023</c:v>
                      </c:pt>
                      <c:pt idx="17">
                        <c:v>49</c:v>
                      </c:pt>
                      <c:pt idx="18">
                        <c:v>270</c:v>
                      </c:pt>
                      <c:pt idx="19">
                        <c:v>2631</c:v>
                      </c:pt>
                      <c:pt idx="20">
                        <c:v>716</c:v>
                      </c:pt>
                      <c:pt idx="21">
                        <c:v>283</c:v>
                      </c:pt>
                      <c:pt idx="22">
                        <c:v>2196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8E67-47C4-A748-0E2AE67327AB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엘오티베큠!$B$127</c15:sqref>
                        </c15:formulaRef>
                      </c:ext>
                    </c:extLst>
                    <c:strCache>
                      <c:ptCount val="1"/>
                      <c:pt idx="0">
                        <c:v> 퇴직급여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엘오티베큠!$C$127:$Y$127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194</c:v>
                      </c:pt>
                      <c:pt idx="1">
                        <c:v>53</c:v>
                      </c:pt>
                      <c:pt idx="2">
                        <c:v>311</c:v>
                      </c:pt>
                      <c:pt idx="3">
                        <c:v>263</c:v>
                      </c:pt>
                      <c:pt idx="4">
                        <c:v>274</c:v>
                      </c:pt>
                      <c:pt idx="5">
                        <c:v>73</c:v>
                      </c:pt>
                      <c:pt idx="6">
                        <c:v>607</c:v>
                      </c:pt>
                      <c:pt idx="7">
                        <c:v>-63</c:v>
                      </c:pt>
                      <c:pt idx="8">
                        <c:v>332</c:v>
                      </c:pt>
                      <c:pt idx="9">
                        <c:v>305</c:v>
                      </c:pt>
                      <c:pt idx="10">
                        <c:v>299</c:v>
                      </c:pt>
                      <c:pt idx="11">
                        <c:v>268</c:v>
                      </c:pt>
                      <c:pt idx="12">
                        <c:v>316</c:v>
                      </c:pt>
                      <c:pt idx="13">
                        <c:v>324</c:v>
                      </c:pt>
                      <c:pt idx="14">
                        <c:v>317</c:v>
                      </c:pt>
                      <c:pt idx="15">
                        <c:v>427</c:v>
                      </c:pt>
                      <c:pt idx="16">
                        <c:v>367</c:v>
                      </c:pt>
                      <c:pt idx="17">
                        <c:v>342</c:v>
                      </c:pt>
                      <c:pt idx="18">
                        <c:v>219</c:v>
                      </c:pt>
                      <c:pt idx="19">
                        <c:v>513</c:v>
                      </c:pt>
                      <c:pt idx="20">
                        <c:v>516</c:v>
                      </c:pt>
                      <c:pt idx="21">
                        <c:v>498</c:v>
                      </c:pt>
                      <c:pt idx="22">
                        <c:v>466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8E67-47C4-A748-0E2AE67327AB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엘오티베큠!$B$128</c15:sqref>
                        </c15:formulaRef>
                      </c:ext>
                    </c:extLst>
                    <c:strCache>
                      <c:ptCount val="1"/>
                      <c:pt idx="0">
                        <c:v> 복리후생비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엘오티베큠!$C$128:$Y$128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280</c:v>
                      </c:pt>
                      <c:pt idx="1">
                        <c:v>389</c:v>
                      </c:pt>
                      <c:pt idx="2">
                        <c:v>232</c:v>
                      </c:pt>
                      <c:pt idx="3">
                        <c:v>405</c:v>
                      </c:pt>
                      <c:pt idx="4">
                        <c:v>305</c:v>
                      </c:pt>
                      <c:pt idx="5">
                        <c:v>418</c:v>
                      </c:pt>
                      <c:pt idx="6">
                        <c:v>310</c:v>
                      </c:pt>
                      <c:pt idx="7">
                        <c:v>537</c:v>
                      </c:pt>
                      <c:pt idx="8">
                        <c:v>329</c:v>
                      </c:pt>
                      <c:pt idx="9">
                        <c:v>500</c:v>
                      </c:pt>
                      <c:pt idx="10">
                        <c:v>447</c:v>
                      </c:pt>
                      <c:pt idx="11">
                        <c:v>568</c:v>
                      </c:pt>
                      <c:pt idx="12">
                        <c:v>351</c:v>
                      </c:pt>
                      <c:pt idx="13">
                        <c:v>304</c:v>
                      </c:pt>
                      <c:pt idx="14">
                        <c:v>335</c:v>
                      </c:pt>
                      <c:pt idx="15">
                        <c:v>480</c:v>
                      </c:pt>
                      <c:pt idx="16">
                        <c:v>358</c:v>
                      </c:pt>
                      <c:pt idx="17">
                        <c:v>435</c:v>
                      </c:pt>
                      <c:pt idx="18">
                        <c:v>457</c:v>
                      </c:pt>
                      <c:pt idx="19">
                        <c:v>628</c:v>
                      </c:pt>
                      <c:pt idx="20">
                        <c:v>559</c:v>
                      </c:pt>
                      <c:pt idx="21">
                        <c:v>743</c:v>
                      </c:pt>
                      <c:pt idx="22">
                        <c:v>764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8E67-47C4-A748-0E2AE67327AB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엘오티베큠!$B$129</c15:sqref>
                        </c15:formulaRef>
                      </c:ext>
                    </c:extLst>
                    <c:strCache>
                      <c:ptCount val="1"/>
                      <c:pt idx="0">
                        <c:v> 수도광열비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엘오티베큠!$C$129:$Y$129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93</c:v>
                      </c:pt>
                      <c:pt idx="1">
                        <c:v>55</c:v>
                      </c:pt>
                      <c:pt idx="2">
                        <c:v>80</c:v>
                      </c:pt>
                      <c:pt idx="3">
                        <c:v>65</c:v>
                      </c:pt>
                      <c:pt idx="4">
                        <c:v>92</c:v>
                      </c:pt>
                      <c:pt idx="5">
                        <c:v>59</c:v>
                      </c:pt>
                      <c:pt idx="6">
                        <c:v>74</c:v>
                      </c:pt>
                      <c:pt idx="7">
                        <c:v>75</c:v>
                      </c:pt>
                      <c:pt idx="8">
                        <c:v>96</c:v>
                      </c:pt>
                      <c:pt idx="9">
                        <c:v>182</c:v>
                      </c:pt>
                      <c:pt idx="10">
                        <c:v>485</c:v>
                      </c:pt>
                      <c:pt idx="11">
                        <c:v>263</c:v>
                      </c:pt>
                      <c:pt idx="12">
                        <c:v>185</c:v>
                      </c:pt>
                      <c:pt idx="13">
                        <c:v>136</c:v>
                      </c:pt>
                      <c:pt idx="14">
                        <c:v>147</c:v>
                      </c:pt>
                      <c:pt idx="15">
                        <c:v>104</c:v>
                      </c:pt>
                      <c:pt idx="16">
                        <c:v>130</c:v>
                      </c:pt>
                      <c:pt idx="17">
                        <c:v>85</c:v>
                      </c:pt>
                      <c:pt idx="18">
                        <c:v>153</c:v>
                      </c:pt>
                      <c:pt idx="19">
                        <c:v>660</c:v>
                      </c:pt>
                      <c:pt idx="20">
                        <c:v>265</c:v>
                      </c:pt>
                      <c:pt idx="21">
                        <c:v>207</c:v>
                      </c:pt>
                      <c:pt idx="22">
                        <c:v>260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8E67-47C4-A748-0E2AE67327AB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엘오티베큠!$B$130</c15:sqref>
                        </c15:formulaRef>
                      </c:ext>
                    </c:extLst>
                    <c:strCache>
                      <c:ptCount val="1"/>
                      <c:pt idx="0">
                        <c:v> 지급임차료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엘오티베큠!$C$130:$Y$130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81</c:v>
                      </c:pt>
                      <c:pt idx="1">
                        <c:v>85</c:v>
                      </c:pt>
                      <c:pt idx="2">
                        <c:v>86</c:v>
                      </c:pt>
                      <c:pt idx="3">
                        <c:v>88</c:v>
                      </c:pt>
                      <c:pt idx="4">
                        <c:v>98</c:v>
                      </c:pt>
                      <c:pt idx="5">
                        <c:v>123</c:v>
                      </c:pt>
                      <c:pt idx="6">
                        <c:v>102</c:v>
                      </c:pt>
                      <c:pt idx="7">
                        <c:v>177</c:v>
                      </c:pt>
                      <c:pt idx="8">
                        <c:v>54</c:v>
                      </c:pt>
                      <c:pt idx="9">
                        <c:v>48</c:v>
                      </c:pt>
                      <c:pt idx="10">
                        <c:v>54</c:v>
                      </c:pt>
                      <c:pt idx="11">
                        <c:v>-2</c:v>
                      </c:pt>
                      <c:pt idx="12">
                        <c:v>36</c:v>
                      </c:pt>
                      <c:pt idx="13">
                        <c:v>35</c:v>
                      </c:pt>
                      <c:pt idx="14">
                        <c:v>11</c:v>
                      </c:pt>
                      <c:pt idx="15">
                        <c:v>62</c:v>
                      </c:pt>
                      <c:pt idx="16">
                        <c:v>40</c:v>
                      </c:pt>
                      <c:pt idx="17">
                        <c:v>56</c:v>
                      </c:pt>
                      <c:pt idx="18">
                        <c:v>20</c:v>
                      </c:pt>
                      <c:pt idx="19">
                        <c:v>40</c:v>
                      </c:pt>
                      <c:pt idx="20">
                        <c:v>38</c:v>
                      </c:pt>
                      <c:pt idx="21">
                        <c:v>42</c:v>
                      </c:pt>
                      <c:pt idx="22">
                        <c:v>45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8E67-47C4-A748-0E2AE67327AB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엘오티베큠!$B$131</c15:sqref>
                        </c15:formulaRef>
                      </c:ext>
                    </c:extLst>
                    <c:strCache>
                      <c:ptCount val="1"/>
                      <c:pt idx="0">
                        <c:v> 운반비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엘오티베큠!$C$131:$Y$131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87</c:v>
                      </c:pt>
                      <c:pt idx="1">
                        <c:v>105</c:v>
                      </c:pt>
                      <c:pt idx="2">
                        <c:v>129</c:v>
                      </c:pt>
                      <c:pt idx="3">
                        <c:v>144</c:v>
                      </c:pt>
                      <c:pt idx="4">
                        <c:v>163</c:v>
                      </c:pt>
                      <c:pt idx="5">
                        <c:v>167</c:v>
                      </c:pt>
                      <c:pt idx="6">
                        <c:v>157</c:v>
                      </c:pt>
                      <c:pt idx="7">
                        <c:v>543</c:v>
                      </c:pt>
                      <c:pt idx="8">
                        <c:v>476</c:v>
                      </c:pt>
                      <c:pt idx="9">
                        <c:v>477</c:v>
                      </c:pt>
                      <c:pt idx="10">
                        <c:v>433</c:v>
                      </c:pt>
                      <c:pt idx="11">
                        <c:v>441</c:v>
                      </c:pt>
                      <c:pt idx="12">
                        <c:v>455</c:v>
                      </c:pt>
                      <c:pt idx="13">
                        <c:v>465</c:v>
                      </c:pt>
                      <c:pt idx="14">
                        <c:v>439</c:v>
                      </c:pt>
                      <c:pt idx="15">
                        <c:v>435</c:v>
                      </c:pt>
                      <c:pt idx="16">
                        <c:v>469</c:v>
                      </c:pt>
                      <c:pt idx="17">
                        <c:v>451</c:v>
                      </c:pt>
                      <c:pt idx="18">
                        <c:v>469</c:v>
                      </c:pt>
                      <c:pt idx="19">
                        <c:v>449</c:v>
                      </c:pt>
                      <c:pt idx="20">
                        <c:v>584</c:v>
                      </c:pt>
                      <c:pt idx="21">
                        <c:v>599</c:v>
                      </c:pt>
                      <c:pt idx="22">
                        <c:v>641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8E67-47C4-A748-0E2AE67327AB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엘오티베큠!$B$132</c15:sqref>
                        </c15:formulaRef>
                      </c:ext>
                    </c:extLst>
                    <c:strCache>
                      <c:ptCount val="1"/>
                      <c:pt idx="0">
                        <c:v> 무형자산상각비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엘오티베큠!$C$132:$Y$132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58</c:v>
                      </c:pt>
                      <c:pt idx="1">
                        <c:v>48</c:v>
                      </c:pt>
                      <c:pt idx="2">
                        <c:v>28</c:v>
                      </c:pt>
                      <c:pt idx="3">
                        <c:v>31</c:v>
                      </c:pt>
                      <c:pt idx="4">
                        <c:v>31</c:v>
                      </c:pt>
                      <c:pt idx="5">
                        <c:v>30</c:v>
                      </c:pt>
                      <c:pt idx="6">
                        <c:v>31</c:v>
                      </c:pt>
                      <c:pt idx="7">
                        <c:v>28</c:v>
                      </c:pt>
                      <c:pt idx="8">
                        <c:v>28</c:v>
                      </c:pt>
                      <c:pt idx="9">
                        <c:v>30</c:v>
                      </c:pt>
                      <c:pt idx="10">
                        <c:v>28</c:v>
                      </c:pt>
                      <c:pt idx="11">
                        <c:v>28</c:v>
                      </c:pt>
                      <c:pt idx="12">
                        <c:v>29</c:v>
                      </c:pt>
                      <c:pt idx="13">
                        <c:v>26</c:v>
                      </c:pt>
                      <c:pt idx="14">
                        <c:v>26</c:v>
                      </c:pt>
                      <c:pt idx="15">
                        <c:v>30</c:v>
                      </c:pt>
                      <c:pt idx="16">
                        <c:v>27</c:v>
                      </c:pt>
                      <c:pt idx="17">
                        <c:v>56</c:v>
                      </c:pt>
                      <c:pt idx="18">
                        <c:v>142</c:v>
                      </c:pt>
                      <c:pt idx="19">
                        <c:v>64</c:v>
                      </c:pt>
                      <c:pt idx="20">
                        <c:v>130</c:v>
                      </c:pt>
                      <c:pt idx="21">
                        <c:v>143</c:v>
                      </c:pt>
                      <c:pt idx="22">
                        <c:v>150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8E67-47C4-A748-0E2AE67327AB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엘오티베큠!$B$133</c15:sqref>
                        </c15:formulaRef>
                      </c:ext>
                    </c:extLst>
                    <c:strCache>
                      <c:ptCount val="1"/>
                      <c:pt idx="0">
                        <c:v> 감가상각비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엘오티베큠!$C$133:$Y$133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124</c:v>
                      </c:pt>
                      <c:pt idx="1">
                        <c:v>121</c:v>
                      </c:pt>
                      <c:pt idx="2">
                        <c:v>117</c:v>
                      </c:pt>
                      <c:pt idx="3">
                        <c:v>107</c:v>
                      </c:pt>
                      <c:pt idx="4">
                        <c:v>104</c:v>
                      </c:pt>
                      <c:pt idx="5">
                        <c:v>104</c:v>
                      </c:pt>
                      <c:pt idx="6">
                        <c:v>104</c:v>
                      </c:pt>
                      <c:pt idx="7">
                        <c:v>103</c:v>
                      </c:pt>
                      <c:pt idx="8">
                        <c:v>154</c:v>
                      </c:pt>
                      <c:pt idx="9">
                        <c:v>198</c:v>
                      </c:pt>
                      <c:pt idx="10">
                        <c:v>315</c:v>
                      </c:pt>
                      <c:pt idx="11">
                        <c:v>541</c:v>
                      </c:pt>
                      <c:pt idx="12">
                        <c:v>398</c:v>
                      </c:pt>
                      <c:pt idx="13">
                        <c:v>398</c:v>
                      </c:pt>
                      <c:pt idx="14">
                        <c:v>383</c:v>
                      </c:pt>
                      <c:pt idx="15">
                        <c:v>302</c:v>
                      </c:pt>
                      <c:pt idx="16">
                        <c:v>338</c:v>
                      </c:pt>
                      <c:pt idx="17">
                        <c:v>336</c:v>
                      </c:pt>
                      <c:pt idx="18">
                        <c:v>354</c:v>
                      </c:pt>
                      <c:pt idx="19">
                        <c:v>593</c:v>
                      </c:pt>
                      <c:pt idx="20">
                        <c:v>511</c:v>
                      </c:pt>
                      <c:pt idx="21">
                        <c:v>461</c:v>
                      </c:pt>
                      <c:pt idx="22">
                        <c:v>524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8E67-47C4-A748-0E2AE67327AB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엘오티베큠!$B$134</c15:sqref>
                        </c15:formulaRef>
                      </c:ext>
                    </c:extLst>
                    <c:strCache>
                      <c:ptCount val="1"/>
                      <c:pt idx="0">
                        <c:v> 수선비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엘오티베큠!$C$134:$Y$134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</c:v>
                      </c:pt>
                      <c:pt idx="1">
                        <c:v>3</c:v>
                      </c:pt>
                      <c:pt idx="2">
                        <c:v>52</c:v>
                      </c:pt>
                      <c:pt idx="3">
                        <c:v>5</c:v>
                      </c:pt>
                      <c:pt idx="4">
                        <c:v>1</c:v>
                      </c:pt>
                      <c:pt idx="5">
                        <c:v>8</c:v>
                      </c:pt>
                      <c:pt idx="6">
                        <c:v>5</c:v>
                      </c:pt>
                      <c:pt idx="7">
                        <c:v>79</c:v>
                      </c:pt>
                      <c:pt idx="8">
                        <c:v>19</c:v>
                      </c:pt>
                      <c:pt idx="9">
                        <c:v>9</c:v>
                      </c:pt>
                      <c:pt idx="10">
                        <c:v>27</c:v>
                      </c:pt>
                      <c:pt idx="11">
                        <c:v>31</c:v>
                      </c:pt>
                      <c:pt idx="12">
                        <c:v>21</c:v>
                      </c:pt>
                      <c:pt idx="13">
                        <c:v>11</c:v>
                      </c:pt>
                      <c:pt idx="14">
                        <c:v>11</c:v>
                      </c:pt>
                      <c:pt idx="15">
                        <c:v>24</c:v>
                      </c:pt>
                      <c:pt idx="16">
                        <c:v>12</c:v>
                      </c:pt>
                      <c:pt idx="17">
                        <c:v>23</c:v>
                      </c:pt>
                      <c:pt idx="18">
                        <c:v>23</c:v>
                      </c:pt>
                      <c:pt idx="19">
                        <c:v>21</c:v>
                      </c:pt>
                      <c:pt idx="20">
                        <c:v>25</c:v>
                      </c:pt>
                      <c:pt idx="21">
                        <c:v>23</c:v>
                      </c:pt>
                      <c:pt idx="22">
                        <c:v>49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8E67-47C4-A748-0E2AE67327AB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엘오티베큠!$B$135</c15:sqref>
                        </c15:formulaRef>
                      </c:ext>
                    </c:extLst>
                    <c:strCache>
                      <c:ptCount val="1"/>
                      <c:pt idx="0">
                        <c:v> 소모품비</c:v>
                      </c:pt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엘오티베큠!$C$135:$Y$135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78</c:v>
                      </c:pt>
                      <c:pt idx="1">
                        <c:v>85</c:v>
                      </c:pt>
                      <c:pt idx="2">
                        <c:v>243</c:v>
                      </c:pt>
                      <c:pt idx="3">
                        <c:v>390</c:v>
                      </c:pt>
                      <c:pt idx="4">
                        <c:v>125</c:v>
                      </c:pt>
                      <c:pt idx="5">
                        <c:v>107</c:v>
                      </c:pt>
                      <c:pt idx="6">
                        <c:v>111</c:v>
                      </c:pt>
                      <c:pt idx="7">
                        <c:v>185</c:v>
                      </c:pt>
                      <c:pt idx="8">
                        <c:v>153</c:v>
                      </c:pt>
                      <c:pt idx="9">
                        <c:v>428</c:v>
                      </c:pt>
                      <c:pt idx="10">
                        <c:v>270</c:v>
                      </c:pt>
                      <c:pt idx="11">
                        <c:v>163</c:v>
                      </c:pt>
                      <c:pt idx="12">
                        <c:v>158</c:v>
                      </c:pt>
                      <c:pt idx="13">
                        <c:v>125</c:v>
                      </c:pt>
                      <c:pt idx="14">
                        <c:v>113</c:v>
                      </c:pt>
                      <c:pt idx="15">
                        <c:v>125</c:v>
                      </c:pt>
                      <c:pt idx="16">
                        <c:v>151</c:v>
                      </c:pt>
                      <c:pt idx="17">
                        <c:v>138</c:v>
                      </c:pt>
                      <c:pt idx="18">
                        <c:v>134</c:v>
                      </c:pt>
                      <c:pt idx="19">
                        <c:v>127</c:v>
                      </c:pt>
                      <c:pt idx="20">
                        <c:v>659</c:v>
                      </c:pt>
                      <c:pt idx="21">
                        <c:v>165</c:v>
                      </c:pt>
                      <c:pt idx="22">
                        <c:v>197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8E67-47C4-A748-0E2AE67327AB}"/>
                  </c:ext>
                </c:extLst>
              </c15:ser>
            </c15:filteredBarSeries>
            <c15:filteredBar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엘오티베큠!$B$136</c15:sqref>
                        </c15:formulaRef>
                      </c:ext>
                    </c:extLst>
                    <c:strCache>
                      <c:ptCount val="1"/>
                      <c:pt idx="0">
                        <c:v> 세금과공과</c:v>
                      </c:pt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엘오티베큠!$C$136:$Y$136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157</c:v>
                      </c:pt>
                      <c:pt idx="1">
                        <c:v>123</c:v>
                      </c:pt>
                      <c:pt idx="2">
                        <c:v>239</c:v>
                      </c:pt>
                      <c:pt idx="3">
                        <c:v>260</c:v>
                      </c:pt>
                      <c:pt idx="4">
                        <c:v>217</c:v>
                      </c:pt>
                      <c:pt idx="5">
                        <c:v>149</c:v>
                      </c:pt>
                      <c:pt idx="6">
                        <c:v>201</c:v>
                      </c:pt>
                      <c:pt idx="7">
                        <c:v>295</c:v>
                      </c:pt>
                      <c:pt idx="8">
                        <c:v>172</c:v>
                      </c:pt>
                      <c:pt idx="9">
                        <c:v>187</c:v>
                      </c:pt>
                      <c:pt idx="10">
                        <c:v>271</c:v>
                      </c:pt>
                      <c:pt idx="11">
                        <c:v>364</c:v>
                      </c:pt>
                      <c:pt idx="12">
                        <c:v>237</c:v>
                      </c:pt>
                      <c:pt idx="13">
                        <c:v>195</c:v>
                      </c:pt>
                      <c:pt idx="14">
                        <c:v>332</c:v>
                      </c:pt>
                      <c:pt idx="15">
                        <c:v>723</c:v>
                      </c:pt>
                      <c:pt idx="16">
                        <c:v>269</c:v>
                      </c:pt>
                      <c:pt idx="17">
                        <c:v>361</c:v>
                      </c:pt>
                      <c:pt idx="18">
                        <c:v>325</c:v>
                      </c:pt>
                      <c:pt idx="19">
                        <c:v>348</c:v>
                      </c:pt>
                      <c:pt idx="20">
                        <c:v>499</c:v>
                      </c:pt>
                      <c:pt idx="21">
                        <c:v>474</c:v>
                      </c:pt>
                      <c:pt idx="22">
                        <c:v>448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8E67-47C4-A748-0E2AE67327AB}"/>
                  </c:ext>
                </c:extLst>
              </c15:ser>
            </c15:filteredBarSeries>
            <c15:filteredBar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엘오티베큠!$B$137</c15:sqref>
                        </c15:formulaRef>
                      </c:ext>
                    </c:extLst>
                    <c:strCache>
                      <c:ptCount val="1"/>
                      <c:pt idx="0">
                        <c:v> 보험료</c:v>
                      </c:pt>
                    </c:strCache>
                  </c:strRef>
                </c:tx>
                <c:spPr>
                  <a:solidFill>
                    <a:schemeClr val="accent1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엘오티베큠!$C$137:$Y$137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46</c:v>
                      </c:pt>
                      <c:pt idx="1">
                        <c:v>71</c:v>
                      </c:pt>
                      <c:pt idx="2">
                        <c:v>51</c:v>
                      </c:pt>
                      <c:pt idx="3">
                        <c:v>56</c:v>
                      </c:pt>
                      <c:pt idx="4">
                        <c:v>61</c:v>
                      </c:pt>
                      <c:pt idx="5">
                        <c:v>98</c:v>
                      </c:pt>
                      <c:pt idx="6">
                        <c:v>84</c:v>
                      </c:pt>
                      <c:pt idx="7">
                        <c:v>82</c:v>
                      </c:pt>
                      <c:pt idx="8">
                        <c:v>64</c:v>
                      </c:pt>
                      <c:pt idx="9">
                        <c:v>104</c:v>
                      </c:pt>
                      <c:pt idx="10">
                        <c:v>82</c:v>
                      </c:pt>
                      <c:pt idx="11">
                        <c:v>68</c:v>
                      </c:pt>
                      <c:pt idx="12">
                        <c:v>82</c:v>
                      </c:pt>
                      <c:pt idx="13">
                        <c:v>99</c:v>
                      </c:pt>
                      <c:pt idx="14">
                        <c:v>84</c:v>
                      </c:pt>
                      <c:pt idx="15">
                        <c:v>80</c:v>
                      </c:pt>
                      <c:pt idx="16">
                        <c:v>74</c:v>
                      </c:pt>
                      <c:pt idx="17">
                        <c:v>74</c:v>
                      </c:pt>
                      <c:pt idx="18">
                        <c:v>84</c:v>
                      </c:pt>
                      <c:pt idx="19">
                        <c:v>99</c:v>
                      </c:pt>
                      <c:pt idx="20">
                        <c:v>95</c:v>
                      </c:pt>
                      <c:pt idx="21">
                        <c:v>118</c:v>
                      </c:pt>
                      <c:pt idx="22">
                        <c:v>141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8E67-47C4-A748-0E2AE67327AB}"/>
                  </c:ext>
                </c:extLst>
              </c15:ser>
            </c15:filteredBarSeries>
            <c15:filteredBar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엘오티베큠!$B$138</c15:sqref>
                        </c15:formulaRef>
                      </c:ext>
                    </c:extLst>
                    <c:strCache>
                      <c:ptCount val="1"/>
                      <c:pt idx="0">
                        <c:v> 여비교통비</c:v>
                      </c:pt>
                    </c:strCache>
                  </c:strRef>
                </c:tx>
                <c:spPr>
                  <a:solidFill>
                    <a:schemeClr val="accent2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엘오티베큠!$C$138:$Y$138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103</c:v>
                      </c:pt>
                      <c:pt idx="1">
                        <c:v>164</c:v>
                      </c:pt>
                      <c:pt idx="2">
                        <c:v>92</c:v>
                      </c:pt>
                      <c:pt idx="3">
                        <c:v>67</c:v>
                      </c:pt>
                      <c:pt idx="4">
                        <c:v>88</c:v>
                      </c:pt>
                      <c:pt idx="5">
                        <c:v>112</c:v>
                      </c:pt>
                      <c:pt idx="6">
                        <c:v>183</c:v>
                      </c:pt>
                      <c:pt idx="7">
                        <c:v>147</c:v>
                      </c:pt>
                      <c:pt idx="8">
                        <c:v>162</c:v>
                      </c:pt>
                      <c:pt idx="9">
                        <c:v>195</c:v>
                      </c:pt>
                      <c:pt idx="10">
                        <c:v>167</c:v>
                      </c:pt>
                      <c:pt idx="11">
                        <c:v>136</c:v>
                      </c:pt>
                      <c:pt idx="12">
                        <c:v>100</c:v>
                      </c:pt>
                      <c:pt idx="13">
                        <c:v>60</c:v>
                      </c:pt>
                      <c:pt idx="14">
                        <c:v>84</c:v>
                      </c:pt>
                      <c:pt idx="15">
                        <c:v>91</c:v>
                      </c:pt>
                      <c:pt idx="16">
                        <c:v>86</c:v>
                      </c:pt>
                      <c:pt idx="17">
                        <c:v>82</c:v>
                      </c:pt>
                      <c:pt idx="18">
                        <c:v>98</c:v>
                      </c:pt>
                      <c:pt idx="19">
                        <c:v>41</c:v>
                      </c:pt>
                      <c:pt idx="20">
                        <c:v>54</c:v>
                      </c:pt>
                      <c:pt idx="21">
                        <c:v>89</c:v>
                      </c:pt>
                      <c:pt idx="22">
                        <c:v>176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E67-47C4-A748-0E2AE67327AB}"/>
                  </c:ext>
                </c:extLst>
              </c15:ser>
            </c15:filteredBarSeries>
            <c15:filteredBar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엘오티베큠!$B$139</c15:sqref>
                        </c15:formulaRef>
                      </c:ext>
                    </c:extLst>
                    <c:strCache>
                      <c:ptCount val="1"/>
                      <c:pt idx="0">
                        <c:v> 통신비</c:v>
                      </c:pt>
                    </c:strCache>
                  </c:strRef>
                </c:tx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엘오티베큠!$C$139:$Y$139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31</c:v>
                      </c:pt>
                      <c:pt idx="1">
                        <c:v>32</c:v>
                      </c:pt>
                      <c:pt idx="2">
                        <c:v>30</c:v>
                      </c:pt>
                      <c:pt idx="3">
                        <c:v>28</c:v>
                      </c:pt>
                      <c:pt idx="4">
                        <c:v>27</c:v>
                      </c:pt>
                      <c:pt idx="5">
                        <c:v>28</c:v>
                      </c:pt>
                      <c:pt idx="6">
                        <c:v>28</c:v>
                      </c:pt>
                      <c:pt idx="7">
                        <c:v>27</c:v>
                      </c:pt>
                      <c:pt idx="8">
                        <c:v>27</c:v>
                      </c:pt>
                      <c:pt idx="9">
                        <c:v>27</c:v>
                      </c:pt>
                      <c:pt idx="10">
                        <c:v>26</c:v>
                      </c:pt>
                      <c:pt idx="11">
                        <c:v>24</c:v>
                      </c:pt>
                      <c:pt idx="12">
                        <c:v>20</c:v>
                      </c:pt>
                      <c:pt idx="13">
                        <c:v>17</c:v>
                      </c:pt>
                      <c:pt idx="14">
                        <c:v>16</c:v>
                      </c:pt>
                      <c:pt idx="15">
                        <c:v>14</c:v>
                      </c:pt>
                      <c:pt idx="16">
                        <c:v>14</c:v>
                      </c:pt>
                      <c:pt idx="17">
                        <c:v>15</c:v>
                      </c:pt>
                      <c:pt idx="18">
                        <c:v>14</c:v>
                      </c:pt>
                      <c:pt idx="19">
                        <c:v>19</c:v>
                      </c:pt>
                      <c:pt idx="20">
                        <c:v>21</c:v>
                      </c:pt>
                      <c:pt idx="21">
                        <c:v>19</c:v>
                      </c:pt>
                      <c:pt idx="22">
                        <c:v>21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E67-47C4-A748-0E2AE67327AB}"/>
                  </c:ext>
                </c:extLst>
              </c15:ser>
            </c15:filteredBarSeries>
            <c15:filteredBar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엘오티베큠!$B$140</c15:sqref>
                        </c15:formulaRef>
                      </c:ext>
                    </c:extLst>
                    <c:strCache>
                      <c:ptCount val="1"/>
                      <c:pt idx="0">
                        <c:v> 차량유지비</c:v>
                      </c:pt>
                    </c:strCache>
                  </c:strRef>
                </c:tx>
                <c:spPr>
                  <a:solidFill>
                    <a:schemeClr val="accent4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엘오티베큠!$C$140:$Y$140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50</c:v>
                      </c:pt>
                      <c:pt idx="1">
                        <c:v>53</c:v>
                      </c:pt>
                      <c:pt idx="2">
                        <c:v>58</c:v>
                      </c:pt>
                      <c:pt idx="3">
                        <c:v>46</c:v>
                      </c:pt>
                      <c:pt idx="4">
                        <c:v>53</c:v>
                      </c:pt>
                      <c:pt idx="5">
                        <c:v>64</c:v>
                      </c:pt>
                      <c:pt idx="6">
                        <c:v>64</c:v>
                      </c:pt>
                      <c:pt idx="7">
                        <c:v>52</c:v>
                      </c:pt>
                      <c:pt idx="8">
                        <c:v>47</c:v>
                      </c:pt>
                      <c:pt idx="9">
                        <c:v>49</c:v>
                      </c:pt>
                      <c:pt idx="10">
                        <c:v>51</c:v>
                      </c:pt>
                      <c:pt idx="11">
                        <c:v>55</c:v>
                      </c:pt>
                      <c:pt idx="12">
                        <c:v>48</c:v>
                      </c:pt>
                      <c:pt idx="13">
                        <c:v>43</c:v>
                      </c:pt>
                      <c:pt idx="14">
                        <c:v>42</c:v>
                      </c:pt>
                      <c:pt idx="15">
                        <c:v>44</c:v>
                      </c:pt>
                      <c:pt idx="16">
                        <c:v>44</c:v>
                      </c:pt>
                      <c:pt idx="17">
                        <c:v>47</c:v>
                      </c:pt>
                      <c:pt idx="18">
                        <c:v>47</c:v>
                      </c:pt>
                      <c:pt idx="19">
                        <c:v>66</c:v>
                      </c:pt>
                      <c:pt idx="20">
                        <c:v>71</c:v>
                      </c:pt>
                      <c:pt idx="21">
                        <c:v>96</c:v>
                      </c:pt>
                      <c:pt idx="22">
                        <c:v>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8E67-47C4-A748-0E2AE67327AB}"/>
                  </c:ext>
                </c:extLst>
              </c15:ser>
            </c15:filteredBarSeries>
            <c15:filteredBar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엘오티베큠!$B$141</c15:sqref>
                        </c15:formulaRef>
                      </c:ext>
                    </c:extLst>
                    <c:strCache>
                      <c:ptCount val="1"/>
                      <c:pt idx="0">
                        <c:v> 교육훈련비</c:v>
                      </c:pt>
                    </c:strCache>
                  </c:strRef>
                </c:tx>
                <c:spPr>
                  <a:solidFill>
                    <a:schemeClr val="accent5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엘오티베큠!$C$141:$Y$141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15</c:v>
                      </c:pt>
                      <c:pt idx="1">
                        <c:v>2</c:v>
                      </c:pt>
                      <c:pt idx="2">
                        <c:v>13</c:v>
                      </c:pt>
                      <c:pt idx="3">
                        <c:v>3</c:v>
                      </c:pt>
                      <c:pt idx="4">
                        <c:v>4</c:v>
                      </c:pt>
                      <c:pt idx="5">
                        <c:v>2</c:v>
                      </c:pt>
                      <c:pt idx="6">
                        <c:v>8</c:v>
                      </c:pt>
                      <c:pt idx="7">
                        <c:v>9</c:v>
                      </c:pt>
                      <c:pt idx="8">
                        <c:v>11</c:v>
                      </c:pt>
                      <c:pt idx="9">
                        <c:v>11</c:v>
                      </c:pt>
                      <c:pt idx="10">
                        <c:v>3</c:v>
                      </c:pt>
                      <c:pt idx="11">
                        <c:v>48</c:v>
                      </c:pt>
                      <c:pt idx="12">
                        <c:v>8</c:v>
                      </c:pt>
                      <c:pt idx="13">
                        <c:v>11</c:v>
                      </c:pt>
                      <c:pt idx="14">
                        <c:v>8</c:v>
                      </c:pt>
                      <c:pt idx="15">
                        <c:v>20</c:v>
                      </c:pt>
                      <c:pt idx="16">
                        <c:v>21</c:v>
                      </c:pt>
                      <c:pt idx="17">
                        <c:v>22</c:v>
                      </c:pt>
                      <c:pt idx="18">
                        <c:v>10</c:v>
                      </c:pt>
                      <c:pt idx="19">
                        <c:v>23</c:v>
                      </c:pt>
                      <c:pt idx="20">
                        <c:v>17</c:v>
                      </c:pt>
                      <c:pt idx="21">
                        <c:v>17</c:v>
                      </c:pt>
                      <c:pt idx="22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8E67-47C4-A748-0E2AE67327AB}"/>
                  </c:ext>
                </c:extLst>
              </c15:ser>
            </c15:filteredBarSeries>
            <c15:filteredBar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엘오티베큠!$B$142</c15:sqref>
                        </c15:formulaRef>
                      </c:ext>
                    </c:extLst>
                    <c:strCache>
                      <c:ptCount val="1"/>
                      <c:pt idx="0">
                        <c:v> 도서인쇄비</c:v>
                      </c:pt>
                    </c:strCache>
                  </c:strRef>
                </c:tx>
                <c:spPr>
                  <a:solidFill>
                    <a:schemeClr val="accent6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엘오티베큠!$C$142:$Y$142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8</c:v>
                      </c:pt>
                      <c:pt idx="1">
                        <c:v>2</c:v>
                      </c:pt>
                      <c:pt idx="2">
                        <c:v>2</c:v>
                      </c:pt>
                      <c:pt idx="3">
                        <c:v>27</c:v>
                      </c:pt>
                      <c:pt idx="4">
                        <c:v>4</c:v>
                      </c:pt>
                      <c:pt idx="5">
                        <c:v>10</c:v>
                      </c:pt>
                      <c:pt idx="6">
                        <c:v>4</c:v>
                      </c:pt>
                      <c:pt idx="7">
                        <c:v>9</c:v>
                      </c:pt>
                      <c:pt idx="8">
                        <c:v>13</c:v>
                      </c:pt>
                      <c:pt idx="9">
                        <c:v>22</c:v>
                      </c:pt>
                      <c:pt idx="10">
                        <c:v>5</c:v>
                      </c:pt>
                      <c:pt idx="11">
                        <c:v>5</c:v>
                      </c:pt>
                      <c:pt idx="12">
                        <c:v>4</c:v>
                      </c:pt>
                      <c:pt idx="13">
                        <c:v>2</c:v>
                      </c:pt>
                      <c:pt idx="14">
                        <c:v>3</c:v>
                      </c:pt>
                      <c:pt idx="15">
                        <c:v>3</c:v>
                      </c:pt>
                      <c:pt idx="16">
                        <c:v>3</c:v>
                      </c:pt>
                      <c:pt idx="17">
                        <c:v>2</c:v>
                      </c:pt>
                      <c:pt idx="18">
                        <c:v>8</c:v>
                      </c:pt>
                      <c:pt idx="19">
                        <c:v>3</c:v>
                      </c:pt>
                      <c:pt idx="20">
                        <c:v>4</c:v>
                      </c:pt>
                      <c:pt idx="21">
                        <c:v>11</c:v>
                      </c:pt>
                      <c:pt idx="22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8E67-47C4-A748-0E2AE67327AB}"/>
                  </c:ext>
                </c:extLst>
              </c15:ser>
            </c15:filteredBarSeries>
            <c15:filteredBar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엘오티베큠!$B$143</c15:sqref>
                        </c15:formulaRef>
                      </c:ext>
                    </c:extLst>
                    <c:strCache>
                      <c:ptCount val="1"/>
                      <c:pt idx="0">
                        <c:v> 지급수수료</c:v>
                      </c:pt>
                    </c:strCache>
                  </c:strRef>
                </c:tx>
                <c:spPr>
                  <a:solidFill>
                    <a:schemeClr val="accent1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엘오티베큠!$C$143:$Y$143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388</c:v>
                      </c:pt>
                      <c:pt idx="1">
                        <c:v>457</c:v>
                      </c:pt>
                      <c:pt idx="2">
                        <c:v>381</c:v>
                      </c:pt>
                      <c:pt idx="3">
                        <c:v>455</c:v>
                      </c:pt>
                      <c:pt idx="4">
                        <c:v>441</c:v>
                      </c:pt>
                      <c:pt idx="5">
                        <c:v>547</c:v>
                      </c:pt>
                      <c:pt idx="6">
                        <c:v>775</c:v>
                      </c:pt>
                      <c:pt idx="7">
                        <c:v>1015</c:v>
                      </c:pt>
                      <c:pt idx="8">
                        <c:v>440</c:v>
                      </c:pt>
                      <c:pt idx="9">
                        <c:v>906</c:v>
                      </c:pt>
                      <c:pt idx="10">
                        <c:v>824</c:v>
                      </c:pt>
                      <c:pt idx="11">
                        <c:v>842</c:v>
                      </c:pt>
                      <c:pt idx="12">
                        <c:v>878</c:v>
                      </c:pt>
                      <c:pt idx="13">
                        <c:v>585</c:v>
                      </c:pt>
                      <c:pt idx="14">
                        <c:v>725</c:v>
                      </c:pt>
                      <c:pt idx="15">
                        <c:v>572</c:v>
                      </c:pt>
                      <c:pt idx="16">
                        <c:v>929</c:v>
                      </c:pt>
                      <c:pt idx="17">
                        <c:v>919</c:v>
                      </c:pt>
                      <c:pt idx="18">
                        <c:v>1211</c:v>
                      </c:pt>
                      <c:pt idx="19">
                        <c:v>2031</c:v>
                      </c:pt>
                      <c:pt idx="20">
                        <c:v>1748</c:v>
                      </c:pt>
                      <c:pt idx="21">
                        <c:v>2025</c:v>
                      </c:pt>
                      <c:pt idx="22">
                        <c:v>2703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8E67-47C4-A748-0E2AE67327AB}"/>
                  </c:ext>
                </c:extLst>
              </c15:ser>
            </c15:filteredBarSeries>
            <c15:filteredBar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엘오티베큠!$B$144</c15:sqref>
                        </c15:formulaRef>
                      </c:ext>
                    </c:extLst>
                    <c:strCache>
                      <c:ptCount val="1"/>
                      <c:pt idx="0">
                        <c:v> 경상연구개발비</c:v>
                      </c:pt>
                    </c:strCache>
                  </c:strRef>
                </c:tx>
                <c:spPr>
                  <a:solidFill>
                    <a:schemeClr val="accent2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엘오티베큠!$C$144:$Y$144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1632</c:v>
                      </c:pt>
                      <c:pt idx="1">
                        <c:v>1856</c:v>
                      </c:pt>
                      <c:pt idx="2">
                        <c:v>2376</c:v>
                      </c:pt>
                      <c:pt idx="3">
                        <c:v>2365</c:v>
                      </c:pt>
                      <c:pt idx="4">
                        <c:v>2975</c:v>
                      </c:pt>
                      <c:pt idx="5">
                        <c:v>1556</c:v>
                      </c:pt>
                      <c:pt idx="6">
                        <c:v>2186</c:v>
                      </c:pt>
                      <c:pt idx="7">
                        <c:v>2198</c:v>
                      </c:pt>
                      <c:pt idx="8">
                        <c:v>2133</c:v>
                      </c:pt>
                      <c:pt idx="9">
                        <c:v>2325</c:v>
                      </c:pt>
                      <c:pt idx="10">
                        <c:v>2277</c:v>
                      </c:pt>
                      <c:pt idx="11">
                        <c:v>2820</c:v>
                      </c:pt>
                      <c:pt idx="12">
                        <c:v>2287</c:v>
                      </c:pt>
                      <c:pt idx="13">
                        <c:v>2848</c:v>
                      </c:pt>
                      <c:pt idx="14">
                        <c:v>2809</c:v>
                      </c:pt>
                      <c:pt idx="15">
                        <c:v>2622</c:v>
                      </c:pt>
                      <c:pt idx="16">
                        <c:v>2471</c:v>
                      </c:pt>
                      <c:pt idx="17">
                        <c:v>2382</c:v>
                      </c:pt>
                      <c:pt idx="18">
                        <c:v>2283</c:v>
                      </c:pt>
                      <c:pt idx="19">
                        <c:v>3922</c:v>
                      </c:pt>
                      <c:pt idx="20">
                        <c:v>3057</c:v>
                      </c:pt>
                      <c:pt idx="21">
                        <c:v>3536</c:v>
                      </c:pt>
                      <c:pt idx="22">
                        <c:v>3397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8E67-47C4-A748-0E2AE67327AB}"/>
                  </c:ext>
                </c:extLst>
              </c15:ser>
            </c15:filteredBarSeries>
            <c15:filteredBar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엘오티베큠!$B$145</c15:sqref>
                        </c15:formulaRef>
                      </c:ext>
                    </c:extLst>
                    <c:strCache>
                      <c:ptCount val="1"/>
                      <c:pt idx="0">
                        <c:v> 대손상각비(환입액)</c:v>
                      </c:pt>
                    </c:strCache>
                  </c:strRef>
                </c:tx>
                <c:spPr>
                  <a:solidFill>
                    <a:schemeClr val="accent3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엘오티베큠!$C$145:$Y$145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-68</c:v>
                      </c:pt>
                      <c:pt idx="1">
                        <c:v>10</c:v>
                      </c:pt>
                      <c:pt idx="2">
                        <c:v>61</c:v>
                      </c:pt>
                      <c:pt idx="3">
                        <c:v>-154</c:v>
                      </c:pt>
                      <c:pt idx="4">
                        <c:v>19</c:v>
                      </c:pt>
                      <c:pt idx="5">
                        <c:v>1</c:v>
                      </c:pt>
                      <c:pt idx="6">
                        <c:v>41</c:v>
                      </c:pt>
                      <c:pt idx="7">
                        <c:v>48</c:v>
                      </c:pt>
                      <c:pt idx="8">
                        <c:v>-49</c:v>
                      </c:pt>
                      <c:pt idx="9">
                        <c:v>-4</c:v>
                      </c:pt>
                      <c:pt idx="10">
                        <c:v>21</c:v>
                      </c:pt>
                      <c:pt idx="11">
                        <c:v>639</c:v>
                      </c:pt>
                      <c:pt idx="12">
                        <c:v>144</c:v>
                      </c:pt>
                      <c:pt idx="13">
                        <c:v>561</c:v>
                      </c:pt>
                      <c:pt idx="14">
                        <c:v>142</c:v>
                      </c:pt>
                      <c:pt idx="15">
                        <c:v>293</c:v>
                      </c:pt>
                      <c:pt idx="16">
                        <c:v>86</c:v>
                      </c:pt>
                      <c:pt idx="17">
                        <c:v>985</c:v>
                      </c:pt>
                      <c:pt idx="18">
                        <c:v>-450</c:v>
                      </c:pt>
                      <c:pt idx="19">
                        <c:v>-643</c:v>
                      </c:pt>
                      <c:pt idx="20">
                        <c:v>205</c:v>
                      </c:pt>
                      <c:pt idx="21">
                        <c:v>849</c:v>
                      </c:pt>
                      <c:pt idx="22">
                        <c:v>15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8E67-47C4-A748-0E2AE67327AB}"/>
                  </c:ext>
                </c:extLst>
              </c15:ser>
            </c15:filteredBarSeries>
            <c15:filteredBar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엘오티베큠!$B$147</c15:sqref>
                        </c15:formulaRef>
                      </c:ext>
                    </c:extLst>
                    <c:strCache>
                      <c:ptCount val="1"/>
                      <c:pt idx="0">
                        <c:v> 접대비</c:v>
                      </c:pt>
                    </c:strCache>
                  </c:strRef>
                </c:tx>
                <c:spPr>
                  <a:solidFill>
                    <a:schemeClr val="accent5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엘오티베큠!$C$147:$Y$147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36</c:v>
                      </c:pt>
                      <c:pt idx="1">
                        <c:v>49</c:v>
                      </c:pt>
                      <c:pt idx="2">
                        <c:v>52</c:v>
                      </c:pt>
                      <c:pt idx="3">
                        <c:v>91</c:v>
                      </c:pt>
                      <c:pt idx="4">
                        <c:v>58</c:v>
                      </c:pt>
                      <c:pt idx="5">
                        <c:v>80</c:v>
                      </c:pt>
                      <c:pt idx="6">
                        <c:v>75</c:v>
                      </c:pt>
                      <c:pt idx="7">
                        <c:v>97</c:v>
                      </c:pt>
                      <c:pt idx="8">
                        <c:v>66</c:v>
                      </c:pt>
                      <c:pt idx="9">
                        <c:v>111</c:v>
                      </c:pt>
                      <c:pt idx="10">
                        <c:v>60</c:v>
                      </c:pt>
                      <c:pt idx="11">
                        <c:v>46</c:v>
                      </c:pt>
                      <c:pt idx="12">
                        <c:v>45</c:v>
                      </c:pt>
                      <c:pt idx="13">
                        <c:v>57</c:v>
                      </c:pt>
                      <c:pt idx="14">
                        <c:v>67</c:v>
                      </c:pt>
                      <c:pt idx="15">
                        <c:v>73</c:v>
                      </c:pt>
                      <c:pt idx="16">
                        <c:v>64</c:v>
                      </c:pt>
                      <c:pt idx="17">
                        <c:v>70</c:v>
                      </c:pt>
                      <c:pt idx="18">
                        <c:v>80</c:v>
                      </c:pt>
                      <c:pt idx="19">
                        <c:v>147</c:v>
                      </c:pt>
                      <c:pt idx="20">
                        <c:v>109</c:v>
                      </c:pt>
                      <c:pt idx="21">
                        <c:v>113</c:v>
                      </c:pt>
                      <c:pt idx="22">
                        <c:v>157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8E67-47C4-A748-0E2AE67327AB}"/>
                  </c:ext>
                </c:extLst>
              </c15:ser>
            </c15:filteredBarSeries>
            <c15:filteredBar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엘오티베큠!$B$148</c15:sqref>
                        </c15:formulaRef>
                      </c:ext>
                    </c:extLst>
                    <c:strCache>
                      <c:ptCount val="1"/>
                      <c:pt idx="0">
                        <c:v> 회의비</c:v>
                      </c:pt>
                    </c:strCache>
                  </c:strRef>
                </c:tx>
                <c:spPr>
                  <a:solidFill>
                    <a:schemeClr val="accent6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엘오티베큠!$C$148:$Y$148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7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</c:v>
                      </c:pt>
                      <c:pt idx="4">
                        <c:v>0</c:v>
                      </c:pt>
                      <c:pt idx="5">
                        <c:v>2</c:v>
                      </c:pt>
                      <c:pt idx="7">
                        <c:v>0</c:v>
                      </c:pt>
                      <c:pt idx="8">
                        <c:v>11</c:v>
                      </c:pt>
                      <c:pt idx="9">
                        <c:v>2</c:v>
                      </c:pt>
                      <c:pt idx="11">
                        <c:v>6</c:v>
                      </c:pt>
                      <c:pt idx="15">
                        <c:v>0</c:v>
                      </c:pt>
                      <c:pt idx="19">
                        <c:v>0</c:v>
                      </c:pt>
                      <c:pt idx="20">
                        <c:v>3</c:v>
                      </c:pt>
                      <c:pt idx="2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8E67-47C4-A748-0E2AE67327AB}"/>
                  </c:ext>
                </c:extLst>
              </c15:ser>
            </c15:filteredBarSeries>
            <c15:filteredBarSeries>
              <c15:ser>
                <c:idx val="24"/>
                <c:order val="2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엘오티베큠!$B$149</c15:sqref>
                        </c15:formulaRef>
                      </c:ext>
                    </c:extLst>
                    <c:strCache>
                      <c:ptCount val="1"/>
                      <c:pt idx="0">
                        <c:v> 광고선전비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엘오티베큠!$C$149:$Y$149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92</c:v>
                      </c:pt>
                      <c:pt idx="1">
                        <c:v>11</c:v>
                      </c:pt>
                      <c:pt idx="2">
                        <c:v>12</c:v>
                      </c:pt>
                      <c:pt idx="3">
                        <c:v>6</c:v>
                      </c:pt>
                      <c:pt idx="4">
                        <c:v>114</c:v>
                      </c:pt>
                      <c:pt idx="5">
                        <c:v>10</c:v>
                      </c:pt>
                      <c:pt idx="6">
                        <c:v>5</c:v>
                      </c:pt>
                      <c:pt idx="7">
                        <c:v>39</c:v>
                      </c:pt>
                      <c:pt idx="8">
                        <c:v>113</c:v>
                      </c:pt>
                      <c:pt idx="9">
                        <c:v>22</c:v>
                      </c:pt>
                      <c:pt idx="10">
                        <c:v>20</c:v>
                      </c:pt>
                      <c:pt idx="11">
                        <c:v>40</c:v>
                      </c:pt>
                      <c:pt idx="12">
                        <c:v>61</c:v>
                      </c:pt>
                      <c:pt idx="13">
                        <c:v>2</c:v>
                      </c:pt>
                      <c:pt idx="14">
                        <c:v>1</c:v>
                      </c:pt>
                      <c:pt idx="15">
                        <c:v>3</c:v>
                      </c:pt>
                      <c:pt idx="16">
                        <c:v>12</c:v>
                      </c:pt>
                      <c:pt idx="17">
                        <c:v>5</c:v>
                      </c:pt>
                      <c:pt idx="18">
                        <c:v>1</c:v>
                      </c:pt>
                      <c:pt idx="19">
                        <c:v>20</c:v>
                      </c:pt>
                      <c:pt idx="20">
                        <c:v>31</c:v>
                      </c:pt>
                      <c:pt idx="21">
                        <c:v>21</c:v>
                      </c:pt>
                      <c:pt idx="22">
                        <c:v>65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B-8E67-47C4-A748-0E2AE67327AB}"/>
                  </c:ext>
                </c:extLst>
              </c15:ser>
            </c15:filteredBarSeries>
            <c15:filteredBarSeries>
              <c15:ser>
                <c:idx val="25"/>
                <c:order val="2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엘오티베큠!$B$150</c15:sqref>
                        </c15:formulaRef>
                      </c:ext>
                    </c:extLst>
                    <c:strCache>
                      <c:ptCount val="1"/>
                      <c:pt idx="0">
                        <c:v> 주식보상비용(*1) 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엘오티베큠!$C$150:$Y$150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3">
                        <c:v>0</c:v>
                      </c:pt>
                      <c:pt idx="4">
                        <c:v>14</c:v>
                      </c:pt>
                      <c:pt idx="5">
                        <c:v>466</c:v>
                      </c:pt>
                      <c:pt idx="6">
                        <c:v>464</c:v>
                      </c:pt>
                      <c:pt idx="7">
                        <c:v>396</c:v>
                      </c:pt>
                      <c:pt idx="8">
                        <c:v>443</c:v>
                      </c:pt>
                      <c:pt idx="9">
                        <c:v>448</c:v>
                      </c:pt>
                      <c:pt idx="10">
                        <c:v>493</c:v>
                      </c:pt>
                      <c:pt idx="11">
                        <c:v>76</c:v>
                      </c:pt>
                      <c:pt idx="12">
                        <c:v>380</c:v>
                      </c:pt>
                      <c:pt idx="13">
                        <c:v>4</c:v>
                      </c:pt>
                      <c:pt idx="15">
                        <c:v>739</c:v>
                      </c:pt>
                      <c:pt idx="16">
                        <c:v>376</c:v>
                      </c:pt>
                      <c:pt idx="17">
                        <c:v>7430</c:v>
                      </c:pt>
                      <c:pt idx="19">
                        <c:v>872</c:v>
                      </c:pt>
                      <c:pt idx="20">
                        <c:v>412</c:v>
                      </c:pt>
                      <c:pt idx="21">
                        <c:v>469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8E67-47C4-A748-0E2AE67327AB}"/>
                  </c:ext>
                </c:extLst>
              </c15:ser>
            </c15:filteredBarSeries>
            <c15:filteredBarSeries>
              <c15:ser>
                <c:idx val="26"/>
                <c:order val="2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엘오티베큠!$B$151</c15:sqref>
                        </c15:formulaRef>
                      </c:ext>
                    </c:extLst>
                    <c:strCache>
                      <c:ptCount val="1"/>
                      <c:pt idx="0">
                        <c:v> 수출제비용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엘오티베큠!$C$124:$Y$124</c15:sqref>
                        </c15:formulaRef>
                      </c:ext>
                    </c:extLst>
                    <c:strCache>
                      <c:ptCount val="23"/>
                      <c:pt idx="0">
                        <c:v> 17.1q</c:v>
                      </c:pt>
                      <c:pt idx="1">
                        <c:v> 17.2q</c:v>
                      </c:pt>
                      <c:pt idx="2">
                        <c:v> 17.3q</c:v>
                      </c:pt>
                      <c:pt idx="3">
                        <c:v> 17.4q</c:v>
                      </c:pt>
                      <c:pt idx="4">
                        <c:v> 18.1q</c:v>
                      </c:pt>
                      <c:pt idx="5">
                        <c:v> 18.2q</c:v>
                      </c:pt>
                      <c:pt idx="6">
                        <c:v> 18.3q</c:v>
                      </c:pt>
                      <c:pt idx="7">
                        <c:v> 18.4q</c:v>
                      </c:pt>
                      <c:pt idx="8">
                        <c:v> 19.1q</c:v>
                      </c:pt>
                      <c:pt idx="9">
                        <c:v> 19.2q</c:v>
                      </c:pt>
                      <c:pt idx="10">
                        <c:v> 19.3q</c:v>
                      </c:pt>
                      <c:pt idx="11">
                        <c:v> 19.4q</c:v>
                      </c:pt>
                      <c:pt idx="12">
                        <c:v> 20.1q</c:v>
                      </c:pt>
                      <c:pt idx="13">
                        <c:v> 20.2q</c:v>
                      </c:pt>
                      <c:pt idx="14">
                        <c:v> 20.3q</c:v>
                      </c:pt>
                      <c:pt idx="15">
                        <c:v> 20.4q</c:v>
                      </c:pt>
                      <c:pt idx="16">
                        <c:v> 21.1q</c:v>
                      </c:pt>
                      <c:pt idx="17">
                        <c:v> 21.2q</c:v>
                      </c:pt>
                      <c:pt idx="18">
                        <c:v> 21.3q</c:v>
                      </c:pt>
                      <c:pt idx="19">
                        <c:v> 21.4q</c:v>
                      </c:pt>
                      <c:pt idx="20">
                        <c:v> 22.1q</c:v>
                      </c:pt>
                      <c:pt idx="21">
                        <c:v> 22.2q</c:v>
                      </c:pt>
                      <c:pt idx="22">
                        <c:v> 22.3q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엘오티베큠!$C$151:$Y$151</c15:sqref>
                        </c15:formulaRef>
                      </c:ext>
                    </c:extLst>
                    <c:numCache>
                      <c:formatCode>#,##0_ ;[Red]\-#,##0\ </c:formatCode>
                      <c:ptCount val="23"/>
                      <c:pt idx="0">
                        <c:v>115</c:v>
                      </c:pt>
                      <c:pt idx="1">
                        <c:v>184</c:v>
                      </c:pt>
                      <c:pt idx="2">
                        <c:v>128</c:v>
                      </c:pt>
                      <c:pt idx="3">
                        <c:v>64</c:v>
                      </c:pt>
                      <c:pt idx="4">
                        <c:v>149</c:v>
                      </c:pt>
                      <c:pt idx="5">
                        <c:v>357</c:v>
                      </c:pt>
                      <c:pt idx="6">
                        <c:v>166</c:v>
                      </c:pt>
                      <c:pt idx="7">
                        <c:v>216</c:v>
                      </c:pt>
                      <c:pt idx="8">
                        <c:v>695</c:v>
                      </c:pt>
                      <c:pt idx="9">
                        <c:v>193</c:v>
                      </c:pt>
                      <c:pt idx="10">
                        <c:v>453</c:v>
                      </c:pt>
                      <c:pt idx="11">
                        <c:v>353</c:v>
                      </c:pt>
                      <c:pt idx="12">
                        <c:v>345</c:v>
                      </c:pt>
                      <c:pt idx="13">
                        <c:v>255</c:v>
                      </c:pt>
                      <c:pt idx="14">
                        <c:v>215</c:v>
                      </c:pt>
                      <c:pt idx="15">
                        <c:v>913</c:v>
                      </c:pt>
                      <c:pt idx="16">
                        <c:v>2168</c:v>
                      </c:pt>
                      <c:pt idx="17">
                        <c:v>5</c:v>
                      </c:pt>
                      <c:pt idx="18">
                        <c:v>505</c:v>
                      </c:pt>
                      <c:pt idx="19">
                        <c:v>-504</c:v>
                      </c:pt>
                      <c:pt idx="22">
                        <c:v>716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8E67-47C4-A748-0E2AE67327AB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27"/>
          <c:order val="27"/>
          <c:tx>
            <c:strRef>
              <c:f>엘오티베큠!$B$154</c:f>
              <c:strCache>
                <c:ptCount val="1"/>
                <c:pt idx="0">
                  <c:v> 제품 보증비 / 판관비 비중 (%)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  <a:lumOff val="40000"/>
                </a:schemeClr>
              </a:solidFill>
              <a:ln w="9525">
                <a:solidFill>
                  <a:schemeClr val="accent4">
                    <a:lumMod val="60000"/>
                    <a:lumOff val="4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엘오티베큠!$C$154:$Y$154</c:f>
              <c:numCache>
                <c:formatCode>0.0%</c:formatCode>
                <c:ptCount val="23"/>
                <c:pt idx="0">
                  <c:v>0.24732688391038696</c:v>
                </c:pt>
                <c:pt idx="1">
                  <c:v>0.29982507288629739</c:v>
                </c:pt>
                <c:pt idx="2">
                  <c:v>0.14418338108882522</c:v>
                </c:pt>
                <c:pt idx="3">
                  <c:v>0.20031762837480149</c:v>
                </c:pt>
                <c:pt idx="4">
                  <c:v>0.18595553859364564</c:v>
                </c:pt>
                <c:pt idx="5">
                  <c:v>0.27534707614640302</c:v>
                </c:pt>
                <c:pt idx="6">
                  <c:v>0.11387789122733903</c:v>
                </c:pt>
                <c:pt idx="7">
                  <c:v>0.10224256292906178</c:v>
                </c:pt>
                <c:pt idx="8">
                  <c:v>0.15528522716800294</c:v>
                </c:pt>
                <c:pt idx="9">
                  <c:v>0.1063789691887308</c:v>
                </c:pt>
                <c:pt idx="10">
                  <c:v>0.12915692971418299</c:v>
                </c:pt>
                <c:pt idx="11">
                  <c:v>0.10517515257921578</c:v>
                </c:pt>
                <c:pt idx="12">
                  <c:v>0.15238341077267251</c:v>
                </c:pt>
                <c:pt idx="13">
                  <c:v>0.10374694031255884</c:v>
                </c:pt>
                <c:pt idx="14">
                  <c:v>0.19258932509925011</c:v>
                </c:pt>
                <c:pt idx="15">
                  <c:v>0.24672032448190634</c:v>
                </c:pt>
                <c:pt idx="16">
                  <c:v>0.20966733366683341</c:v>
                </c:pt>
                <c:pt idx="17">
                  <c:v>0.10162643737698125</c:v>
                </c:pt>
                <c:pt idx="18">
                  <c:v>0.35847933884297523</c:v>
                </c:pt>
                <c:pt idx="19">
                  <c:v>0.21463463765926374</c:v>
                </c:pt>
                <c:pt idx="20">
                  <c:v>0.25631969322367426</c:v>
                </c:pt>
                <c:pt idx="21">
                  <c:v>0.36416856964915922</c:v>
                </c:pt>
                <c:pt idx="22">
                  <c:v>0.29690681284259984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E67-47C4-A748-0E2AE67327AB}"/>
            </c:ext>
          </c:extLst>
        </c:ser>
        <c:ser>
          <c:idx val="28"/>
          <c:order val="28"/>
          <c:tx>
            <c:strRef>
              <c:f>엘오티베큠!$B$12</c:f>
              <c:strCache>
                <c:ptCount val="1"/>
                <c:pt idx="0">
                  <c:v>  판관비율(%)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60000"/>
                    <a:lumOff val="4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엘오티베큠!$C$12:$Y$12</c:f>
              <c:numCache>
                <c:formatCode>0.0%</c:formatCode>
                <c:ptCount val="23"/>
                <c:pt idx="0">
                  <c:v>0.18898337657346018</c:v>
                </c:pt>
                <c:pt idx="1">
                  <c:v>0.1276156223992391</c:v>
                </c:pt>
                <c:pt idx="2">
                  <c:v>0.18262578123366988</c:v>
                </c:pt>
                <c:pt idx="3">
                  <c:v>0.2141493134491225</c:v>
                </c:pt>
                <c:pt idx="4">
                  <c:v>0.20276328502415458</c:v>
                </c:pt>
                <c:pt idx="5">
                  <c:v>0.17973115843528167</c:v>
                </c:pt>
                <c:pt idx="6">
                  <c:v>0.3243553395436749</c:v>
                </c:pt>
                <c:pt idx="7">
                  <c:v>0.31179935941432169</c:v>
                </c:pt>
                <c:pt idx="8">
                  <c:v>0.30047298979337816</c:v>
                </c:pt>
                <c:pt idx="9">
                  <c:v>0.33679939132640124</c:v>
                </c:pt>
                <c:pt idx="10">
                  <c:v>0.31448902945246093</c:v>
                </c:pt>
                <c:pt idx="11">
                  <c:v>0.25329373077331069</c:v>
                </c:pt>
                <c:pt idx="12">
                  <c:v>0.21215270181579524</c:v>
                </c:pt>
                <c:pt idx="13">
                  <c:v>0.25517572268201993</c:v>
                </c:pt>
                <c:pt idx="14">
                  <c:v>0.26392893684308438</c:v>
                </c:pt>
                <c:pt idx="15">
                  <c:v>0.49687677455990914</c:v>
                </c:pt>
                <c:pt idx="16">
                  <c:v>0.22012544014084506</c:v>
                </c:pt>
                <c:pt idx="17">
                  <c:v>0.24803872475379737</c:v>
                </c:pt>
                <c:pt idx="18">
                  <c:v>0.29496248660235797</c:v>
                </c:pt>
                <c:pt idx="19">
                  <c:v>0.34376191631712139</c:v>
                </c:pt>
                <c:pt idx="20">
                  <c:v>0.26424069607856199</c:v>
                </c:pt>
                <c:pt idx="21">
                  <c:v>0.2862198786237693</c:v>
                </c:pt>
                <c:pt idx="22">
                  <c:v>0.24649830220713073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8E67-47C4-A748-0E2AE67327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3130784"/>
        <c:axId val="883123712"/>
      </c:lineChart>
      <c:catAx>
        <c:axId val="89027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0272368"/>
        <c:crosses val="autoZero"/>
        <c:auto val="1"/>
        <c:lblAlgn val="ctr"/>
        <c:lblOffset val="100"/>
        <c:noMultiLvlLbl val="0"/>
      </c:catAx>
      <c:valAx>
        <c:axId val="890272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[Red]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90274448"/>
        <c:crosses val="autoZero"/>
        <c:crossBetween val="between"/>
      </c:valAx>
      <c:valAx>
        <c:axId val="88312371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83130784"/>
        <c:crosses val="max"/>
        <c:crossBetween val="between"/>
      </c:valAx>
      <c:catAx>
        <c:axId val="883130784"/>
        <c:scaling>
          <c:orientation val="minMax"/>
        </c:scaling>
        <c:delete val="1"/>
        <c:axPos val="b"/>
        <c:majorTickMark val="out"/>
        <c:minorTickMark val="none"/>
        <c:tickLblPos val="nextTo"/>
        <c:crossAx val="883123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.xml"/><Relationship Id="rId13" Type="http://schemas.openxmlformats.org/officeDocument/2006/relationships/image" Target="../media/image1.png"/><Relationship Id="rId18" Type="http://schemas.openxmlformats.org/officeDocument/2006/relationships/chart" Target="../charts/chart20.xml"/><Relationship Id="rId26" Type="http://schemas.openxmlformats.org/officeDocument/2006/relationships/chart" Target="../charts/chart28.xml"/><Relationship Id="rId3" Type="http://schemas.openxmlformats.org/officeDocument/2006/relationships/chart" Target="../charts/chart6.xml"/><Relationship Id="rId21" Type="http://schemas.openxmlformats.org/officeDocument/2006/relationships/chart" Target="../charts/chart23.xml"/><Relationship Id="rId7" Type="http://schemas.openxmlformats.org/officeDocument/2006/relationships/chart" Target="../charts/chart10.xml"/><Relationship Id="rId12" Type="http://schemas.openxmlformats.org/officeDocument/2006/relationships/chart" Target="../charts/chart15.xml"/><Relationship Id="rId17" Type="http://schemas.openxmlformats.org/officeDocument/2006/relationships/chart" Target="../charts/chart19.xml"/><Relationship Id="rId25" Type="http://schemas.openxmlformats.org/officeDocument/2006/relationships/chart" Target="../charts/chart27.xml"/><Relationship Id="rId2" Type="http://schemas.openxmlformats.org/officeDocument/2006/relationships/chart" Target="../charts/chart5.xml"/><Relationship Id="rId16" Type="http://schemas.openxmlformats.org/officeDocument/2006/relationships/chart" Target="../charts/chart18.xml"/><Relationship Id="rId20" Type="http://schemas.openxmlformats.org/officeDocument/2006/relationships/chart" Target="../charts/chart22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11" Type="http://schemas.openxmlformats.org/officeDocument/2006/relationships/chart" Target="../charts/chart14.xml"/><Relationship Id="rId24" Type="http://schemas.openxmlformats.org/officeDocument/2006/relationships/chart" Target="../charts/chart26.xml"/><Relationship Id="rId5" Type="http://schemas.openxmlformats.org/officeDocument/2006/relationships/chart" Target="../charts/chart8.xml"/><Relationship Id="rId15" Type="http://schemas.openxmlformats.org/officeDocument/2006/relationships/chart" Target="../charts/chart17.xml"/><Relationship Id="rId23" Type="http://schemas.openxmlformats.org/officeDocument/2006/relationships/chart" Target="../charts/chart25.xml"/><Relationship Id="rId10" Type="http://schemas.openxmlformats.org/officeDocument/2006/relationships/chart" Target="../charts/chart13.xml"/><Relationship Id="rId19" Type="http://schemas.openxmlformats.org/officeDocument/2006/relationships/chart" Target="../charts/chart21.xml"/><Relationship Id="rId4" Type="http://schemas.openxmlformats.org/officeDocument/2006/relationships/chart" Target="../charts/chart7.xml"/><Relationship Id="rId9" Type="http://schemas.openxmlformats.org/officeDocument/2006/relationships/chart" Target="../charts/chart12.xml"/><Relationship Id="rId14" Type="http://schemas.openxmlformats.org/officeDocument/2006/relationships/chart" Target="../charts/chart16.xml"/><Relationship Id="rId22" Type="http://schemas.openxmlformats.org/officeDocument/2006/relationships/chart" Target="../charts/chart24.xml"/><Relationship Id="rId27" Type="http://schemas.openxmlformats.org/officeDocument/2006/relationships/chart" Target="../charts/chart2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520065</xdr:colOff>
      <xdr:row>156</xdr:row>
      <xdr:rowOff>115251</xdr:rowOff>
    </xdr:from>
    <xdr:to>
      <xdr:col>25</xdr:col>
      <xdr:colOff>186690</xdr:colOff>
      <xdr:row>169</xdr:row>
      <xdr:rowOff>1904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1CAC2674-A2A5-CAD9-30A0-029A05DF24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283844</xdr:colOff>
      <xdr:row>169</xdr:row>
      <xdr:rowOff>250507</xdr:rowOff>
    </xdr:from>
    <xdr:to>
      <xdr:col>25</xdr:col>
      <xdr:colOff>438150</xdr:colOff>
      <xdr:row>182</xdr:row>
      <xdr:rowOff>133350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97860E6F-C553-C9E4-7303-36DCCE38BA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2286000</xdr:colOff>
      <xdr:row>168</xdr:row>
      <xdr:rowOff>282892</xdr:rowOff>
    </xdr:from>
    <xdr:to>
      <xdr:col>11</xdr:col>
      <xdr:colOff>228600</xdr:colOff>
      <xdr:row>182</xdr:row>
      <xdr:rowOff>76200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4BFF55E5-AA2F-AC7A-2850-2233B67D2A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234950</xdr:colOff>
      <xdr:row>0</xdr:row>
      <xdr:rowOff>78740</xdr:rowOff>
    </xdr:from>
    <xdr:to>
      <xdr:col>20</xdr:col>
      <xdr:colOff>499110</xdr:colOff>
      <xdr:row>41</xdr:row>
      <xdr:rowOff>73660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6AEC1EC0-DA78-4554-B864-A5C078A76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464820</xdr:colOff>
      <xdr:row>0</xdr:row>
      <xdr:rowOff>180340</xdr:rowOff>
    </xdr:from>
    <xdr:to>
      <xdr:col>43</xdr:col>
      <xdr:colOff>427990</xdr:colOff>
      <xdr:row>40</xdr:row>
      <xdr:rowOff>80009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A31DEA2E-CE86-44C0-A923-24AD3D2EC3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265431</xdr:colOff>
      <xdr:row>44</xdr:row>
      <xdr:rowOff>145677</xdr:rowOff>
    </xdr:from>
    <xdr:to>
      <xdr:col>20</xdr:col>
      <xdr:colOff>459441</xdr:colOff>
      <xdr:row>81</xdr:row>
      <xdr:rowOff>34925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7D03D318-DA01-4F29-905E-0D23318219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0</xdr:colOff>
      <xdr:row>85</xdr:row>
      <xdr:rowOff>0</xdr:rowOff>
    </xdr:from>
    <xdr:to>
      <xdr:col>42</xdr:col>
      <xdr:colOff>134471</xdr:colOff>
      <xdr:row>116</xdr:row>
      <xdr:rowOff>78441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06F7A28B-5DCF-4F54-B403-3CA4E8434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22</xdr:col>
      <xdr:colOff>0</xdr:colOff>
      <xdr:row>45</xdr:row>
      <xdr:rowOff>0</xdr:rowOff>
    </xdr:from>
    <xdr:to>
      <xdr:col>41</xdr:col>
      <xdr:colOff>42807</xdr:colOff>
      <xdr:row>75</xdr:row>
      <xdr:rowOff>154977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7B44978B-CBE6-4C2C-949E-9ECE3E32E4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37</xdr:col>
      <xdr:colOff>145567</xdr:colOff>
      <xdr:row>126</xdr:row>
      <xdr:rowOff>134471</xdr:rowOff>
    </xdr:from>
    <xdr:to>
      <xdr:col>55</xdr:col>
      <xdr:colOff>179857</xdr:colOff>
      <xdr:row>153</xdr:row>
      <xdr:rowOff>85838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91FB0796-9B96-49B6-A318-DD100020D9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37</xdr:col>
      <xdr:colOff>145567</xdr:colOff>
      <xdr:row>153</xdr:row>
      <xdr:rowOff>85838</xdr:rowOff>
    </xdr:from>
    <xdr:to>
      <xdr:col>52</xdr:col>
      <xdr:colOff>374391</xdr:colOff>
      <xdr:row>189</xdr:row>
      <xdr:rowOff>11319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C38CDD68-2DED-4744-B4D8-91D359F73F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36</xdr:col>
      <xdr:colOff>588626</xdr:colOff>
      <xdr:row>190</xdr:row>
      <xdr:rowOff>5605</xdr:rowOff>
    </xdr:from>
    <xdr:to>
      <xdr:col>54</xdr:col>
      <xdr:colOff>126740</xdr:colOff>
      <xdr:row>218</xdr:row>
      <xdr:rowOff>20508</xdr:rowOff>
    </xdr:to>
    <xdr:graphicFrame macro="">
      <xdr:nvGraphicFramePr>
        <xdr:cNvPr id="10" name="차트 9">
          <a:extLst>
            <a:ext uri="{FF2B5EF4-FFF2-40B4-BE49-F238E27FC236}">
              <a16:creationId xmlns:a16="http://schemas.microsoft.com/office/drawing/2014/main" id="{4B53BA5D-0ADE-4C3B-843D-A5D2F03B85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218</xdr:row>
      <xdr:rowOff>29248</xdr:rowOff>
    </xdr:from>
    <xdr:to>
      <xdr:col>17</xdr:col>
      <xdr:colOff>126964</xdr:colOff>
      <xdr:row>253</xdr:row>
      <xdr:rowOff>67236</xdr:rowOff>
    </xdr:to>
    <xdr:graphicFrame macro="">
      <xdr:nvGraphicFramePr>
        <xdr:cNvPr id="11" name="차트 10">
          <a:extLst>
            <a:ext uri="{FF2B5EF4-FFF2-40B4-BE49-F238E27FC236}">
              <a16:creationId xmlns:a16="http://schemas.microsoft.com/office/drawing/2014/main" id="{06E67CAE-3EC4-454A-A395-6F5164D1A0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19</xdr:col>
      <xdr:colOff>287658</xdr:colOff>
      <xdr:row>236</xdr:row>
      <xdr:rowOff>134470</xdr:rowOff>
    </xdr:from>
    <xdr:to>
      <xdr:col>37</xdr:col>
      <xdr:colOff>442411</xdr:colOff>
      <xdr:row>271</xdr:row>
      <xdr:rowOff>174363</xdr:rowOff>
    </xdr:to>
    <xdr:graphicFrame macro="">
      <xdr:nvGraphicFramePr>
        <xdr:cNvPr id="12" name="차트 11">
          <a:extLst>
            <a:ext uri="{FF2B5EF4-FFF2-40B4-BE49-F238E27FC236}">
              <a16:creationId xmlns:a16="http://schemas.microsoft.com/office/drawing/2014/main" id="{533A225D-B656-4D97-9F5B-F2E8E12865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20</xdr:col>
      <xdr:colOff>365876</xdr:colOff>
      <xdr:row>274</xdr:row>
      <xdr:rowOff>52444</xdr:rowOff>
    </xdr:from>
    <xdr:to>
      <xdr:col>37</xdr:col>
      <xdr:colOff>592012</xdr:colOff>
      <xdr:row>309</xdr:row>
      <xdr:rowOff>86622</xdr:rowOff>
    </xdr:to>
    <xdr:graphicFrame macro="">
      <xdr:nvGraphicFramePr>
        <xdr:cNvPr id="13" name="차트 12">
          <a:extLst>
            <a:ext uri="{FF2B5EF4-FFF2-40B4-BE49-F238E27FC236}">
              <a16:creationId xmlns:a16="http://schemas.microsoft.com/office/drawing/2014/main" id="{023042F9-2D05-4B8A-826D-A430A2457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179185</xdr:colOff>
      <xdr:row>262</xdr:row>
      <xdr:rowOff>1906</xdr:rowOff>
    </xdr:from>
    <xdr:to>
      <xdr:col>17</xdr:col>
      <xdr:colOff>317579</xdr:colOff>
      <xdr:row>297</xdr:row>
      <xdr:rowOff>37989</xdr:rowOff>
    </xdr:to>
    <xdr:graphicFrame macro="">
      <xdr:nvGraphicFramePr>
        <xdr:cNvPr id="14" name="차트 13">
          <a:extLst>
            <a:ext uri="{FF2B5EF4-FFF2-40B4-BE49-F238E27FC236}">
              <a16:creationId xmlns:a16="http://schemas.microsoft.com/office/drawing/2014/main" id="{4D0EF917-B6C5-4417-B63B-697DACA272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1</xdr:col>
      <xdr:colOff>427728</xdr:colOff>
      <xdr:row>131</xdr:row>
      <xdr:rowOff>58574</xdr:rowOff>
    </xdr:from>
    <xdr:to>
      <xdr:col>17</xdr:col>
      <xdr:colOff>67235</xdr:colOff>
      <xdr:row>157</xdr:row>
      <xdr:rowOff>168117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30BD04F-BE21-6374-267E-1C15AB1A6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32846" y="23546103"/>
          <a:ext cx="9321389" cy="4771190"/>
        </a:xfrm>
        <a:prstGeom prst="rect">
          <a:avLst/>
        </a:prstGeom>
      </xdr:spPr>
    </xdr:pic>
    <xdr:clientData/>
  </xdr:twoCellAnchor>
  <xdr:twoCellAnchor>
    <xdr:from>
      <xdr:col>18</xdr:col>
      <xdr:colOff>0</xdr:colOff>
      <xdr:row>131</xdr:row>
      <xdr:rowOff>0</xdr:rowOff>
    </xdr:from>
    <xdr:to>
      <xdr:col>34</xdr:col>
      <xdr:colOff>338418</xdr:colOff>
      <xdr:row>162</xdr:row>
      <xdr:rowOff>51156</xdr:rowOff>
    </xdr:to>
    <xdr:graphicFrame macro="">
      <xdr:nvGraphicFramePr>
        <xdr:cNvPr id="17" name="차트 16">
          <a:extLst>
            <a:ext uri="{FF2B5EF4-FFF2-40B4-BE49-F238E27FC236}">
              <a16:creationId xmlns:a16="http://schemas.microsoft.com/office/drawing/2014/main" id="{CCE81B6A-4FE4-4C8D-B547-C3D4DEFED8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0</xdr:colOff>
      <xdr:row>167</xdr:row>
      <xdr:rowOff>0</xdr:rowOff>
    </xdr:from>
    <xdr:to>
      <xdr:col>35</xdr:col>
      <xdr:colOff>497205</xdr:colOff>
      <xdr:row>199</xdr:row>
      <xdr:rowOff>41407</xdr:rowOff>
    </xdr:to>
    <xdr:graphicFrame macro="">
      <xdr:nvGraphicFramePr>
        <xdr:cNvPr id="18" name="차트 17">
          <a:extLst>
            <a:ext uri="{FF2B5EF4-FFF2-40B4-BE49-F238E27FC236}">
              <a16:creationId xmlns:a16="http://schemas.microsoft.com/office/drawing/2014/main" id="{B19AEA57-8787-4F77-8579-D99917AFCC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18</xdr:col>
      <xdr:colOff>0</xdr:colOff>
      <xdr:row>203</xdr:row>
      <xdr:rowOff>0</xdr:rowOff>
    </xdr:from>
    <xdr:to>
      <xdr:col>36</xdr:col>
      <xdr:colOff>38773</xdr:colOff>
      <xdr:row>237</xdr:row>
      <xdr:rowOff>21908</xdr:rowOff>
    </xdr:to>
    <xdr:graphicFrame macro="">
      <xdr:nvGraphicFramePr>
        <xdr:cNvPr id="19" name="차트 18">
          <a:extLst>
            <a:ext uri="{FF2B5EF4-FFF2-40B4-BE49-F238E27FC236}">
              <a16:creationId xmlns:a16="http://schemas.microsoft.com/office/drawing/2014/main" id="{F03E645E-70CC-4FFD-B346-0CE9A40E0E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145676</xdr:colOff>
      <xdr:row>312</xdr:row>
      <xdr:rowOff>112058</xdr:rowOff>
    </xdr:from>
    <xdr:to>
      <xdr:col>20</xdr:col>
      <xdr:colOff>127971</xdr:colOff>
      <xdr:row>347</xdr:row>
      <xdr:rowOff>57541</xdr:rowOff>
    </xdr:to>
    <xdr:graphicFrame macro="">
      <xdr:nvGraphicFramePr>
        <xdr:cNvPr id="21" name="차트 20">
          <a:extLst>
            <a:ext uri="{FF2B5EF4-FFF2-40B4-BE49-F238E27FC236}">
              <a16:creationId xmlns:a16="http://schemas.microsoft.com/office/drawing/2014/main" id="{5AE9A313-300E-411D-857F-D80DBF560F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38</xdr:col>
      <xdr:colOff>235323</xdr:colOff>
      <xdr:row>280</xdr:row>
      <xdr:rowOff>134471</xdr:rowOff>
    </xdr:from>
    <xdr:to>
      <xdr:col>53</xdr:col>
      <xdr:colOff>312084</xdr:colOff>
      <xdr:row>305</xdr:row>
      <xdr:rowOff>32667</xdr:rowOff>
    </xdr:to>
    <xdr:graphicFrame macro="">
      <xdr:nvGraphicFramePr>
        <xdr:cNvPr id="22" name="차트 21">
          <a:extLst>
            <a:ext uri="{FF2B5EF4-FFF2-40B4-BE49-F238E27FC236}">
              <a16:creationId xmlns:a16="http://schemas.microsoft.com/office/drawing/2014/main" id="{D5EA128A-607B-480E-8A6F-A3BB8DBF08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0</xdr:colOff>
      <xdr:row>352</xdr:row>
      <xdr:rowOff>0</xdr:rowOff>
    </xdr:from>
    <xdr:to>
      <xdr:col>20</xdr:col>
      <xdr:colOff>376630</xdr:colOff>
      <xdr:row>381</xdr:row>
      <xdr:rowOff>55414</xdr:rowOff>
    </xdr:to>
    <xdr:graphicFrame macro="">
      <xdr:nvGraphicFramePr>
        <xdr:cNvPr id="23" name="차트 22">
          <a:extLst>
            <a:ext uri="{FF2B5EF4-FFF2-40B4-BE49-F238E27FC236}">
              <a16:creationId xmlns:a16="http://schemas.microsoft.com/office/drawing/2014/main" id="{1C1E153B-F66F-4775-AFD6-36F13ABB00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22</xdr:col>
      <xdr:colOff>201707</xdr:colOff>
      <xdr:row>351</xdr:row>
      <xdr:rowOff>89647</xdr:rowOff>
    </xdr:from>
    <xdr:to>
      <xdr:col>41</xdr:col>
      <xdr:colOff>580241</xdr:colOff>
      <xdr:row>380</xdr:row>
      <xdr:rowOff>148871</xdr:rowOff>
    </xdr:to>
    <xdr:graphicFrame macro="">
      <xdr:nvGraphicFramePr>
        <xdr:cNvPr id="24" name="차트 23">
          <a:extLst>
            <a:ext uri="{FF2B5EF4-FFF2-40B4-BE49-F238E27FC236}">
              <a16:creationId xmlns:a16="http://schemas.microsoft.com/office/drawing/2014/main" id="{04F6DBC6-3A79-4B21-AB62-80A4B63112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0</xdr:colOff>
      <xdr:row>387</xdr:row>
      <xdr:rowOff>0</xdr:rowOff>
    </xdr:from>
    <xdr:to>
      <xdr:col>21</xdr:col>
      <xdr:colOff>451597</xdr:colOff>
      <xdr:row>421</xdr:row>
      <xdr:rowOff>152400</xdr:rowOff>
    </xdr:to>
    <xdr:graphicFrame macro="">
      <xdr:nvGraphicFramePr>
        <xdr:cNvPr id="25" name="차트 24">
          <a:extLst>
            <a:ext uri="{FF2B5EF4-FFF2-40B4-BE49-F238E27FC236}">
              <a16:creationId xmlns:a16="http://schemas.microsoft.com/office/drawing/2014/main" id="{48D3D636-D7B9-4EB4-AB6B-439D89FAD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22</xdr:col>
      <xdr:colOff>0</xdr:colOff>
      <xdr:row>387</xdr:row>
      <xdr:rowOff>0</xdr:rowOff>
    </xdr:from>
    <xdr:to>
      <xdr:col>42</xdr:col>
      <xdr:colOff>451597</xdr:colOff>
      <xdr:row>422</xdr:row>
      <xdr:rowOff>153129</xdr:rowOff>
    </xdr:to>
    <xdr:graphicFrame macro="">
      <xdr:nvGraphicFramePr>
        <xdr:cNvPr id="27" name="차트 26">
          <a:extLst>
            <a:ext uri="{FF2B5EF4-FFF2-40B4-BE49-F238E27FC236}">
              <a16:creationId xmlns:a16="http://schemas.microsoft.com/office/drawing/2014/main" id="{FFA2A61A-0E4D-4B8E-8588-BDCF24215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22</xdr:col>
      <xdr:colOff>0</xdr:colOff>
      <xdr:row>313</xdr:row>
      <xdr:rowOff>0</xdr:rowOff>
    </xdr:from>
    <xdr:to>
      <xdr:col>40</xdr:col>
      <xdr:colOff>593127</xdr:colOff>
      <xdr:row>347</xdr:row>
      <xdr:rowOff>120967</xdr:rowOff>
    </xdr:to>
    <xdr:graphicFrame macro="">
      <xdr:nvGraphicFramePr>
        <xdr:cNvPr id="30" name="차트 29">
          <a:extLst>
            <a:ext uri="{FF2B5EF4-FFF2-40B4-BE49-F238E27FC236}">
              <a16:creationId xmlns:a16="http://schemas.microsoft.com/office/drawing/2014/main" id="{5BF9213B-C225-4D20-8582-A0D8FF658F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42</xdr:col>
      <xdr:colOff>0</xdr:colOff>
      <xdr:row>313</xdr:row>
      <xdr:rowOff>0</xdr:rowOff>
    </xdr:from>
    <xdr:to>
      <xdr:col>60</xdr:col>
      <xdr:colOff>589317</xdr:colOff>
      <xdr:row>347</xdr:row>
      <xdr:rowOff>122872</xdr:rowOff>
    </xdr:to>
    <xdr:graphicFrame macro="">
      <xdr:nvGraphicFramePr>
        <xdr:cNvPr id="31" name="차트 30">
          <a:extLst>
            <a:ext uri="{FF2B5EF4-FFF2-40B4-BE49-F238E27FC236}">
              <a16:creationId xmlns:a16="http://schemas.microsoft.com/office/drawing/2014/main" id="{8A02D898-7E34-4C34-96BD-B527768B45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</xdr:col>
      <xdr:colOff>1</xdr:colOff>
      <xdr:row>166</xdr:row>
      <xdr:rowOff>-1</xdr:rowOff>
    </xdr:from>
    <xdr:to>
      <xdr:col>17</xdr:col>
      <xdr:colOff>448235</xdr:colOff>
      <xdr:row>193</xdr:row>
      <xdr:rowOff>123263</xdr:rowOff>
    </xdr:to>
    <xdr:graphicFrame macro="">
      <xdr:nvGraphicFramePr>
        <xdr:cNvPr id="15" name="차트 14">
          <a:extLst>
            <a:ext uri="{FF2B5EF4-FFF2-40B4-BE49-F238E27FC236}">
              <a16:creationId xmlns:a16="http://schemas.microsoft.com/office/drawing/2014/main" id="{584B93B8-2127-462E-8779-78EEAD8C54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431</xdr:row>
      <xdr:rowOff>0</xdr:rowOff>
    </xdr:from>
    <xdr:to>
      <xdr:col>21</xdr:col>
      <xdr:colOff>177277</xdr:colOff>
      <xdr:row>461</xdr:row>
      <xdr:rowOff>82812</xdr:rowOff>
    </xdr:to>
    <xdr:graphicFrame macro="">
      <xdr:nvGraphicFramePr>
        <xdr:cNvPr id="20" name="차트 19">
          <a:extLst>
            <a:ext uri="{FF2B5EF4-FFF2-40B4-BE49-F238E27FC236}">
              <a16:creationId xmlns:a16="http://schemas.microsoft.com/office/drawing/2014/main" id="{057D2F86-6738-4CE8-9E72-81D1CFC13A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22</xdr:col>
      <xdr:colOff>0</xdr:colOff>
      <xdr:row>428</xdr:row>
      <xdr:rowOff>0</xdr:rowOff>
    </xdr:from>
    <xdr:to>
      <xdr:col>42</xdr:col>
      <xdr:colOff>449692</xdr:colOff>
      <xdr:row>463</xdr:row>
      <xdr:rowOff>153129</xdr:rowOff>
    </xdr:to>
    <xdr:graphicFrame macro="">
      <xdr:nvGraphicFramePr>
        <xdr:cNvPr id="26" name="차트 25">
          <a:extLst>
            <a:ext uri="{FF2B5EF4-FFF2-40B4-BE49-F238E27FC236}">
              <a16:creationId xmlns:a16="http://schemas.microsoft.com/office/drawing/2014/main" id="{7DCE7965-04EB-4FDC-B28B-D94877D20F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0.12258</cdr:x>
      <cdr:y>0.14914</cdr:y>
    </cdr:from>
    <cdr:to>
      <cdr:x>0.29462</cdr:x>
      <cdr:y>0.22549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CBF2646E-7824-B59D-2646-19D8FA1B902C}"/>
            </a:ext>
          </a:extLst>
        </cdr:cNvPr>
        <cdr:cNvSpPr txBox="1"/>
      </cdr:nvSpPr>
      <cdr:spPr>
        <a:xfrm xmlns:a="http://schemas.openxmlformats.org/drawingml/2006/main">
          <a:off x="1277470" y="941294"/>
          <a:ext cx="1792941" cy="4818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ko-KR" altLang="en-US" sz="1500"/>
            <a:t>상관 관계 </a:t>
          </a:r>
          <a:r>
            <a:rPr lang="en-US" altLang="ko-KR" sz="1500"/>
            <a:t>: 81%</a:t>
          </a:r>
          <a:endParaRPr lang="ko-KR" altLang="en-US" sz="1500"/>
        </a:p>
      </cdr:txBody>
    </cdr: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56"/>
  <sheetViews>
    <sheetView tabSelected="1" topLeftCell="A152" zoomScale="85" zoomScaleNormal="85" workbookViewId="0">
      <selection activeCell="C6" sqref="C6"/>
    </sheetView>
  </sheetViews>
  <sheetFormatPr defaultColWidth="14.44140625" defaultRowHeight="15" customHeight="1"/>
  <cols>
    <col min="1" max="1" width="29.5546875" style="7" bestFit="1" customWidth="1"/>
    <col min="2" max="2" width="52.5546875" style="7" bestFit="1" customWidth="1"/>
    <col min="3" max="25" width="9.33203125" style="7" customWidth="1"/>
    <col min="26" max="26" width="8.33203125" style="7" bestFit="1" customWidth="1"/>
    <col min="27" max="27" width="7.6640625" style="7" bestFit="1" customWidth="1"/>
    <col min="28" max="29" width="10.6640625" style="7" bestFit="1" customWidth="1"/>
    <col min="30" max="30" width="11.44140625" style="7" customWidth="1"/>
    <col min="31" max="31" width="10.6640625" style="7" customWidth="1"/>
    <col min="32" max="32" width="7.6640625" style="7" customWidth="1"/>
    <col min="33" max="33" width="7.33203125" style="7" bestFit="1" customWidth="1"/>
    <col min="34" max="34" width="12.5546875" style="7" customWidth="1"/>
    <col min="35" max="35" width="10.6640625" style="7" customWidth="1"/>
    <col min="36" max="37" width="7.6640625" style="7" customWidth="1"/>
    <col min="38" max="38" width="8.21875" style="7" bestFit="1" customWidth="1"/>
    <col min="39" max="39" width="12.109375" style="7" bestFit="1" customWidth="1"/>
    <col min="40" max="40" width="8.77734375" style="7" customWidth="1"/>
    <col min="41" max="41" width="10.6640625" style="7" customWidth="1"/>
    <col min="42" max="46" width="7.6640625" style="7" customWidth="1"/>
    <col min="47" max="47" width="3.33203125" style="7" customWidth="1"/>
    <col min="48" max="48" width="10.6640625" style="7" customWidth="1"/>
    <col min="49" max="53" width="7.6640625" style="7" customWidth="1"/>
    <col min="54" max="54" width="14.33203125" style="7" customWidth="1"/>
    <col min="55" max="58" width="8.33203125" style="7" customWidth="1"/>
    <col min="59" max="59" width="9.33203125" style="7" customWidth="1"/>
    <col min="60" max="16384" width="14.44140625" style="7"/>
  </cols>
  <sheetData>
    <row r="1" spans="1:59" ht="24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5"/>
      <c r="N1" s="5"/>
      <c r="O1" s="5"/>
      <c r="P1" s="5"/>
      <c r="Q1" s="5"/>
      <c r="R1" s="5" t="s">
        <v>28</v>
      </c>
      <c r="S1" s="5" t="s">
        <v>27</v>
      </c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59" ht="24.75" customHeight="1">
      <c r="B2" s="8" t="s">
        <v>45</v>
      </c>
      <c r="C2" s="5"/>
      <c r="D2" s="5"/>
      <c r="E2" s="5"/>
      <c r="F2" s="5"/>
      <c r="G2" s="5"/>
      <c r="H2" s="5"/>
      <c r="I2" s="5"/>
      <c r="J2" s="5"/>
      <c r="K2" s="5"/>
      <c r="L2" s="6"/>
      <c r="M2" s="9"/>
      <c r="N2" s="5"/>
      <c r="O2" s="5"/>
      <c r="P2" s="5"/>
      <c r="Q2" s="5" t="s">
        <v>46</v>
      </c>
      <c r="R2" s="9">
        <f>(Y6-U6)/U6</f>
        <v>1.0201500535905681</v>
      </c>
      <c r="S2" s="9">
        <f>(Y6-X6)/X6</f>
        <v>0.23114927376159428</v>
      </c>
      <c r="T2" s="5"/>
      <c r="U2" s="5"/>
      <c r="V2" s="5"/>
      <c r="W2" s="5"/>
      <c r="X2" s="5"/>
      <c r="Y2" s="5"/>
      <c r="Z2" s="5"/>
      <c r="AA2" s="5"/>
      <c r="AB2" s="5"/>
      <c r="AC2" s="5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5"/>
      <c r="AU2" s="5"/>
      <c r="AV2" s="5"/>
      <c r="AW2" s="5"/>
      <c r="AX2" s="5"/>
      <c r="AY2" s="5"/>
    </row>
    <row r="3" spans="1:59" ht="24.7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6"/>
      <c r="M3" s="5"/>
      <c r="N3" s="5"/>
      <c r="O3" s="5"/>
      <c r="P3" s="5"/>
      <c r="Q3" s="5" t="s">
        <v>47</v>
      </c>
      <c r="R3" s="9">
        <f>(Y13-U13)/U13</f>
        <v>1.2853868194842406</v>
      </c>
      <c r="S3" s="9">
        <f>(Y13-X13)/X13</f>
        <v>0.93154665805618342</v>
      </c>
      <c r="T3" s="5"/>
      <c r="U3" s="5"/>
      <c r="V3" s="9"/>
      <c r="W3" s="5"/>
      <c r="X3" s="5"/>
      <c r="Y3" s="5"/>
      <c r="Z3" s="5"/>
      <c r="AA3" s="5"/>
      <c r="AB3" s="5"/>
      <c r="AC3" s="5"/>
      <c r="AD3" s="5"/>
      <c r="AE3" s="5"/>
      <c r="AF3" s="9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</row>
    <row r="4" spans="1:59" ht="24.75" customHeight="1">
      <c r="A4" s="5"/>
      <c r="B4" s="126" t="s">
        <v>173</v>
      </c>
      <c r="C4" s="5"/>
      <c r="D4" s="5"/>
      <c r="E4" s="5"/>
      <c r="F4" s="5"/>
      <c r="G4" s="5"/>
      <c r="H4" s="5"/>
      <c r="I4" s="5"/>
      <c r="J4" s="5"/>
      <c r="K4" s="11"/>
      <c r="L4" s="12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9"/>
      <c r="AE4" s="9"/>
      <c r="AG4" s="5"/>
      <c r="AI4" s="9"/>
      <c r="AJ4" s="9"/>
      <c r="AK4" s="9"/>
      <c r="AL4" s="9"/>
      <c r="AM4" s="9"/>
      <c r="AN4" s="5"/>
      <c r="AP4" s="9"/>
      <c r="AQ4" s="9"/>
      <c r="AR4" s="9"/>
      <c r="AS4" s="9"/>
      <c r="AT4" s="9"/>
      <c r="AU4" s="5"/>
      <c r="AV4" s="5"/>
      <c r="AW4" s="5"/>
      <c r="AX4" s="5"/>
      <c r="AY4" s="5"/>
    </row>
    <row r="5" spans="1:59" ht="24.75" customHeight="1" thickBot="1">
      <c r="A5" s="5"/>
      <c r="B5" s="13" t="s">
        <v>48</v>
      </c>
      <c r="C5" s="14" t="s">
        <v>0</v>
      </c>
      <c r="D5" s="14" t="s">
        <v>1</v>
      </c>
      <c r="E5" s="14" t="s">
        <v>2</v>
      </c>
      <c r="F5" s="14" t="s">
        <v>3</v>
      </c>
      <c r="G5" s="14" t="s">
        <v>4</v>
      </c>
      <c r="H5" s="14" t="s">
        <v>5</v>
      </c>
      <c r="I5" s="14" t="s">
        <v>6</v>
      </c>
      <c r="J5" s="14" t="s">
        <v>7</v>
      </c>
      <c r="K5" s="15" t="s">
        <v>8</v>
      </c>
      <c r="L5" s="16" t="s">
        <v>9</v>
      </c>
      <c r="M5" s="14" t="s">
        <v>10</v>
      </c>
      <c r="N5" s="14" t="s">
        <v>11</v>
      </c>
      <c r="O5" s="14" t="s">
        <v>12</v>
      </c>
      <c r="P5" s="14" t="s">
        <v>13</v>
      </c>
      <c r="Q5" s="14" t="s">
        <v>14</v>
      </c>
      <c r="R5" s="14" t="s">
        <v>15</v>
      </c>
      <c r="S5" s="14" t="s">
        <v>16</v>
      </c>
      <c r="T5" s="14" t="s">
        <v>17</v>
      </c>
      <c r="U5" s="14" t="s">
        <v>18</v>
      </c>
      <c r="V5" s="14" t="s">
        <v>19</v>
      </c>
      <c r="W5" s="14" t="s">
        <v>20</v>
      </c>
      <c r="X5" s="14" t="s">
        <v>21</v>
      </c>
      <c r="Y5" s="14" t="s">
        <v>30</v>
      </c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1:59" ht="24.75" customHeight="1" thickTop="1">
      <c r="A6" s="5"/>
      <c r="B6" s="17" t="s">
        <v>49</v>
      </c>
      <c r="C6" s="18">
        <v>41628</v>
      </c>
      <c r="D6" s="18">
        <v>67288</v>
      </c>
      <c r="E6" s="18">
        <v>47841</v>
      </c>
      <c r="F6" s="18">
        <f>200745-E6-D6-C6</f>
        <v>43988</v>
      </c>
      <c r="G6" s="18">
        <v>51750</v>
      </c>
      <c r="H6" s="18">
        <v>52968</v>
      </c>
      <c r="I6" s="18">
        <v>29628</v>
      </c>
      <c r="J6" s="18">
        <f>169314-I6-H6-G6</f>
        <v>34968</v>
      </c>
      <c r="K6" s="18">
        <v>36153</v>
      </c>
      <c r="L6" s="18">
        <v>31544</v>
      </c>
      <c r="M6" s="18">
        <v>35413</v>
      </c>
      <c r="N6" s="18">
        <f>150245-M6-L6-K6</f>
        <v>47135</v>
      </c>
      <c r="O6" s="18">
        <v>54852</v>
      </c>
      <c r="P6" s="18">
        <v>41685</v>
      </c>
      <c r="Q6" s="18">
        <v>43004</v>
      </c>
      <c r="R6" s="18">
        <f>171239-Q6-P6-O6</f>
        <v>31698</v>
      </c>
      <c r="S6" s="17">
        <v>72704</v>
      </c>
      <c r="T6" s="17">
        <v>77883</v>
      </c>
      <c r="U6" s="17">
        <v>51315</v>
      </c>
      <c r="V6" s="17">
        <f>259596-U6-T6-S6</f>
        <v>57694</v>
      </c>
      <c r="W6" s="17">
        <v>75049</v>
      </c>
      <c r="X6" s="19">
        <v>84201</v>
      </c>
      <c r="Y6" s="19">
        <v>103664</v>
      </c>
      <c r="Z6" s="20"/>
      <c r="AA6" s="20"/>
      <c r="AB6" s="20"/>
      <c r="AC6" s="20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</row>
    <row r="7" spans="1:59" ht="24.75" customHeight="1">
      <c r="A7" s="5"/>
      <c r="B7" s="21" t="s">
        <v>50</v>
      </c>
      <c r="C7" s="22">
        <v>28665</v>
      </c>
      <c r="D7" s="22">
        <v>47260</v>
      </c>
      <c r="E7" s="22">
        <v>31875</v>
      </c>
      <c r="F7" s="22">
        <f>138481-E7-D7-C7</f>
        <v>30681</v>
      </c>
      <c r="G7" s="22">
        <v>32111</v>
      </c>
      <c r="H7" s="22">
        <v>35026</v>
      </c>
      <c r="I7" s="22">
        <v>18955</v>
      </c>
      <c r="J7" s="22">
        <f>109835-I7-H7-G7</f>
        <v>23743</v>
      </c>
      <c r="K7" s="22">
        <v>24777</v>
      </c>
      <c r="L7" s="22">
        <v>21442</v>
      </c>
      <c r="M7" s="22">
        <v>25306</v>
      </c>
      <c r="N7" s="22">
        <f>106711-M7-L7-K7</f>
        <v>35186</v>
      </c>
      <c r="O7" s="22">
        <v>35180</v>
      </c>
      <c r="P7" s="22">
        <v>27044</v>
      </c>
      <c r="Q7" s="22">
        <v>35091</v>
      </c>
      <c r="R7" s="22">
        <f>117704-Q7-P7-O7</f>
        <v>20389</v>
      </c>
      <c r="S7" s="23">
        <v>45832</v>
      </c>
      <c r="T7" s="23">
        <v>50000</v>
      </c>
      <c r="U7" s="23">
        <v>30944</v>
      </c>
      <c r="V7" s="23">
        <f>162943-U7-T7-S7</f>
        <v>36167</v>
      </c>
      <c r="W7" s="23">
        <v>50235</v>
      </c>
      <c r="X7" s="23">
        <v>53907</v>
      </c>
      <c r="Y7" s="23">
        <v>66147</v>
      </c>
      <c r="Z7" s="20"/>
      <c r="AA7" s="20"/>
      <c r="AB7" s="20"/>
      <c r="AC7" s="20"/>
      <c r="AD7" s="9"/>
      <c r="AE7" s="9"/>
      <c r="AF7" s="9"/>
      <c r="AG7" s="5"/>
      <c r="AH7" s="9"/>
      <c r="AI7" s="9"/>
      <c r="AJ7" s="9"/>
      <c r="AK7" s="9"/>
      <c r="AL7" s="9"/>
      <c r="AM7" s="5"/>
      <c r="AN7" s="5"/>
      <c r="AO7" s="9"/>
      <c r="AP7" s="9"/>
      <c r="AQ7" s="9"/>
      <c r="AR7" s="9"/>
      <c r="AS7" s="9"/>
      <c r="AT7" s="5"/>
      <c r="AU7" s="5"/>
      <c r="AV7" s="5"/>
      <c r="AW7" s="5"/>
      <c r="AX7" s="5"/>
      <c r="AY7" s="5"/>
    </row>
    <row r="8" spans="1:59" ht="24.75" customHeight="1">
      <c r="A8" s="5"/>
      <c r="B8" s="21" t="s">
        <v>51</v>
      </c>
      <c r="C8" s="24">
        <f t="shared" ref="C8:X8" si="0">C7/C6</f>
        <v>0.68859901989045835</v>
      </c>
      <c r="D8" s="24">
        <f t="shared" si="0"/>
        <v>0.70235406015931523</v>
      </c>
      <c r="E8" s="24">
        <f t="shared" si="0"/>
        <v>0.66626951777763843</v>
      </c>
      <c r="F8" s="24">
        <f t="shared" si="0"/>
        <v>0.69748567791215788</v>
      </c>
      <c r="G8" s="24">
        <f t="shared" si="0"/>
        <v>0.62050241545893725</v>
      </c>
      <c r="H8" s="24">
        <f t="shared" si="0"/>
        <v>0.66126718018426223</v>
      </c>
      <c r="I8" s="24">
        <f t="shared" si="0"/>
        <v>0.63976643715404347</v>
      </c>
      <c r="J8" s="24">
        <f t="shared" si="0"/>
        <v>0.67899222145962024</v>
      </c>
      <c r="K8" s="24">
        <f t="shared" si="0"/>
        <v>0.68533731640527762</v>
      </c>
      <c r="L8" s="24">
        <f t="shared" si="0"/>
        <v>0.6797489221405022</v>
      </c>
      <c r="M8" s="24">
        <f t="shared" si="0"/>
        <v>0.71459633467935502</v>
      </c>
      <c r="N8" s="24">
        <f t="shared" si="0"/>
        <v>0.74649411265513954</v>
      </c>
      <c r="O8" s="24">
        <f t="shared" si="0"/>
        <v>0.64136221104061841</v>
      </c>
      <c r="P8" s="24">
        <f t="shared" si="0"/>
        <v>0.64877054096197673</v>
      </c>
      <c r="Q8" s="24">
        <f t="shared" si="0"/>
        <v>0.81599386103618265</v>
      </c>
      <c r="R8" s="24">
        <f t="shared" si="0"/>
        <v>0.64322670200012622</v>
      </c>
      <c r="S8" s="24">
        <f t="shared" si="0"/>
        <v>0.63039172535211263</v>
      </c>
      <c r="T8" s="24">
        <f t="shared" si="0"/>
        <v>0.6419886239615834</v>
      </c>
      <c r="U8" s="24">
        <f t="shared" si="0"/>
        <v>0.60302055929065579</v>
      </c>
      <c r="V8" s="24">
        <f t="shared" si="0"/>
        <v>0.6268762782958367</v>
      </c>
      <c r="W8" s="24">
        <f t="shared" si="0"/>
        <v>0.66936268304707591</v>
      </c>
      <c r="X8" s="24">
        <f t="shared" si="0"/>
        <v>0.64021804966686857</v>
      </c>
      <c r="Y8" s="24">
        <f t="shared" ref="Y8" si="1">Y7/Y6</f>
        <v>0.6380903688840871</v>
      </c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2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</row>
    <row r="9" spans="1:59" ht="24.75" customHeight="1">
      <c r="A9" s="5"/>
      <c r="B9" s="21" t="s">
        <v>52</v>
      </c>
      <c r="C9" s="26">
        <f t="shared" ref="C9:X9" si="2">C6-C7</f>
        <v>12963</v>
      </c>
      <c r="D9" s="26">
        <f t="shared" si="2"/>
        <v>20028</v>
      </c>
      <c r="E9" s="26">
        <f t="shared" si="2"/>
        <v>15966</v>
      </c>
      <c r="F9" s="26">
        <f t="shared" si="2"/>
        <v>13307</v>
      </c>
      <c r="G9" s="26">
        <f t="shared" si="2"/>
        <v>19639</v>
      </c>
      <c r="H9" s="26">
        <f t="shared" si="2"/>
        <v>17942</v>
      </c>
      <c r="I9" s="26">
        <f t="shared" si="2"/>
        <v>10673</v>
      </c>
      <c r="J9" s="26">
        <f t="shared" si="2"/>
        <v>11225</v>
      </c>
      <c r="K9" s="26">
        <f t="shared" si="2"/>
        <v>11376</v>
      </c>
      <c r="L9" s="27">
        <f t="shared" si="2"/>
        <v>10102</v>
      </c>
      <c r="M9" s="26">
        <f t="shared" si="2"/>
        <v>10107</v>
      </c>
      <c r="N9" s="26">
        <f t="shared" si="2"/>
        <v>11949</v>
      </c>
      <c r="O9" s="26">
        <f t="shared" si="2"/>
        <v>19672</v>
      </c>
      <c r="P9" s="26">
        <f t="shared" si="2"/>
        <v>14641</v>
      </c>
      <c r="Q9" s="26">
        <f t="shared" si="2"/>
        <v>7913</v>
      </c>
      <c r="R9" s="26">
        <f t="shared" si="2"/>
        <v>11309</v>
      </c>
      <c r="S9" s="26">
        <f t="shared" si="2"/>
        <v>26872</v>
      </c>
      <c r="T9" s="26">
        <f t="shared" si="2"/>
        <v>27883</v>
      </c>
      <c r="U9" s="26">
        <f t="shared" si="2"/>
        <v>20371</v>
      </c>
      <c r="V9" s="26">
        <f t="shared" si="2"/>
        <v>21527</v>
      </c>
      <c r="W9" s="26">
        <f t="shared" si="2"/>
        <v>24814</v>
      </c>
      <c r="X9" s="26">
        <f t="shared" si="2"/>
        <v>30294</v>
      </c>
      <c r="Y9" s="26">
        <f t="shared" ref="Y9" si="3">Y6-Y7</f>
        <v>37517</v>
      </c>
      <c r="Z9" s="5"/>
      <c r="AA9" s="5"/>
      <c r="AB9" s="5"/>
      <c r="AC9" s="5"/>
      <c r="AD9" s="5"/>
      <c r="AE9" s="5"/>
      <c r="AF9" s="9"/>
      <c r="AG9" s="9"/>
      <c r="AH9" s="5"/>
      <c r="AI9" s="5"/>
      <c r="AJ9" s="9"/>
      <c r="AK9" s="9"/>
      <c r="AL9" s="9"/>
      <c r="AM9" s="9"/>
      <c r="AN9" s="9"/>
      <c r="AO9" s="5"/>
      <c r="AP9" s="9"/>
      <c r="AQ9" s="9"/>
      <c r="AR9" s="9"/>
      <c r="AS9" s="9"/>
      <c r="AT9" s="9"/>
      <c r="AU9" s="5"/>
      <c r="AV9" s="5"/>
      <c r="AW9" s="9"/>
      <c r="AX9" s="9"/>
      <c r="AY9" s="9"/>
      <c r="AZ9" s="9"/>
      <c r="BA9" s="9"/>
      <c r="BB9" s="5"/>
      <c r="BC9" s="5"/>
      <c r="BD9" s="5"/>
      <c r="BE9" s="5"/>
      <c r="BF9" s="5"/>
      <c r="BG9" s="5"/>
    </row>
    <row r="10" spans="1:59" ht="24.75" customHeight="1">
      <c r="A10" s="5"/>
      <c r="B10" s="21" t="s">
        <v>22</v>
      </c>
      <c r="C10" s="24">
        <f t="shared" ref="C10:X10" si="4">C9/C6</f>
        <v>0.31140098010954165</v>
      </c>
      <c r="D10" s="24">
        <f t="shared" si="4"/>
        <v>0.29764593984068483</v>
      </c>
      <c r="E10" s="24">
        <f t="shared" si="4"/>
        <v>0.33373048222236157</v>
      </c>
      <c r="F10" s="24">
        <f t="shared" si="4"/>
        <v>0.30251432208784212</v>
      </c>
      <c r="G10" s="24">
        <f t="shared" si="4"/>
        <v>0.3794975845410628</v>
      </c>
      <c r="H10" s="24">
        <f t="shared" si="4"/>
        <v>0.33873281981573783</v>
      </c>
      <c r="I10" s="24">
        <f t="shared" si="4"/>
        <v>0.36023356284595653</v>
      </c>
      <c r="J10" s="24">
        <f t="shared" si="4"/>
        <v>0.32100777854037976</v>
      </c>
      <c r="K10" s="24">
        <f t="shared" si="4"/>
        <v>0.31466268359472244</v>
      </c>
      <c r="L10" s="28">
        <f t="shared" si="4"/>
        <v>0.32025107785949786</v>
      </c>
      <c r="M10" s="24">
        <f t="shared" si="4"/>
        <v>0.28540366532064498</v>
      </c>
      <c r="N10" s="24">
        <f t="shared" si="4"/>
        <v>0.25350588734486051</v>
      </c>
      <c r="O10" s="24">
        <f t="shared" si="4"/>
        <v>0.35863778895938159</v>
      </c>
      <c r="P10" s="24">
        <f t="shared" si="4"/>
        <v>0.35122945903802327</v>
      </c>
      <c r="Q10" s="24">
        <f t="shared" si="4"/>
        <v>0.18400613896381732</v>
      </c>
      <c r="R10" s="24">
        <f t="shared" si="4"/>
        <v>0.35677329799987378</v>
      </c>
      <c r="S10" s="24">
        <f t="shared" si="4"/>
        <v>0.36960827464788731</v>
      </c>
      <c r="T10" s="24">
        <f t="shared" si="4"/>
        <v>0.3580113760384166</v>
      </c>
      <c r="U10" s="24">
        <f t="shared" si="4"/>
        <v>0.39697944070934427</v>
      </c>
      <c r="V10" s="24">
        <f t="shared" si="4"/>
        <v>0.37312372170416336</v>
      </c>
      <c r="W10" s="24">
        <f t="shared" si="4"/>
        <v>0.33063731695292409</v>
      </c>
      <c r="X10" s="24">
        <f t="shared" si="4"/>
        <v>0.35978195033313143</v>
      </c>
      <c r="Y10" s="24">
        <f t="shared" ref="Y10" si="5">Y9/Y6</f>
        <v>0.36190963111591296</v>
      </c>
      <c r="Z10" s="5"/>
      <c r="AA10" s="5"/>
      <c r="AB10" s="5"/>
      <c r="AC10" s="5"/>
      <c r="AD10" s="5"/>
      <c r="AE10" s="29"/>
      <c r="AF10" s="5"/>
      <c r="AG10" s="5"/>
      <c r="AH10" s="5"/>
      <c r="AI10" s="29"/>
      <c r="AJ10" s="5"/>
      <c r="AK10" s="5"/>
      <c r="AL10" s="5"/>
      <c r="AM10" s="5"/>
      <c r="AN10" s="9"/>
      <c r="AO10" s="29"/>
      <c r="AP10" s="5"/>
      <c r="AQ10" s="5"/>
      <c r="AR10" s="5"/>
      <c r="AS10" s="5"/>
      <c r="AT10" s="5"/>
      <c r="AU10" s="5"/>
      <c r="AV10" s="29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</row>
    <row r="11" spans="1:59" ht="24.75" customHeight="1">
      <c r="A11" s="5"/>
      <c r="B11" s="21" t="s">
        <v>53</v>
      </c>
      <c r="C11" s="26">
        <v>7867</v>
      </c>
      <c r="D11" s="26">
        <v>8587</v>
      </c>
      <c r="E11" s="26">
        <v>8737</v>
      </c>
      <c r="F11" s="26">
        <f>34611-E11-D11-C11</f>
        <v>9420</v>
      </c>
      <c r="G11" s="26">
        <v>10493</v>
      </c>
      <c r="H11" s="26">
        <v>9520</v>
      </c>
      <c r="I11" s="26">
        <v>9610</v>
      </c>
      <c r="J11" s="26">
        <f>40526-I11-H11-G11</f>
        <v>10903</v>
      </c>
      <c r="K11" s="26">
        <v>10863</v>
      </c>
      <c r="L11" s="26">
        <v>10624</v>
      </c>
      <c r="M11" s="26">
        <v>11137</v>
      </c>
      <c r="N11" s="26">
        <f>44563-M11-L11-K11</f>
        <v>11939</v>
      </c>
      <c r="O11" s="26">
        <v>11637</v>
      </c>
      <c r="P11" s="26">
        <v>10637</v>
      </c>
      <c r="Q11" s="26">
        <v>11350</v>
      </c>
      <c r="R11" s="26">
        <f>49374-Q11-P11-O11</f>
        <v>15750</v>
      </c>
      <c r="S11" s="21">
        <v>16004</v>
      </c>
      <c r="T11" s="21">
        <v>19318</v>
      </c>
      <c r="U11" s="21">
        <v>15136</v>
      </c>
      <c r="V11" s="21">
        <f>70291-U11-T11-S11</f>
        <v>19833</v>
      </c>
      <c r="W11" s="21">
        <v>19831</v>
      </c>
      <c r="X11" s="21">
        <v>24100</v>
      </c>
      <c r="Y11" s="21">
        <v>25553</v>
      </c>
      <c r="Z11" s="5"/>
      <c r="AA11" s="5"/>
      <c r="AB11" s="5"/>
      <c r="AC11" s="5"/>
      <c r="AD11" s="5"/>
      <c r="AE11" s="5"/>
      <c r="AF11" s="9"/>
      <c r="AG11" s="9"/>
      <c r="AH11" s="5"/>
      <c r="AI11" s="5"/>
      <c r="AJ11" s="9"/>
      <c r="AK11" s="9"/>
      <c r="AL11" s="9"/>
      <c r="AM11" s="9"/>
      <c r="AN11" s="9"/>
      <c r="AO11" s="5"/>
      <c r="AP11" s="9"/>
      <c r="AQ11" s="9"/>
      <c r="AR11" s="9"/>
      <c r="AS11" s="9"/>
      <c r="AT11" s="9"/>
      <c r="AU11" s="5"/>
      <c r="AV11" s="5"/>
      <c r="AW11" s="9"/>
      <c r="AX11" s="9"/>
      <c r="AY11" s="9"/>
      <c r="AZ11" s="9"/>
      <c r="BA11" s="9"/>
      <c r="BB11" s="5"/>
      <c r="BC11" s="5"/>
      <c r="BD11" s="5"/>
      <c r="BE11" s="5"/>
      <c r="BF11" s="5"/>
      <c r="BG11" s="5"/>
    </row>
    <row r="12" spans="1:59" ht="24.75" customHeight="1">
      <c r="A12" s="5"/>
      <c r="B12" s="21" t="s">
        <v>54</v>
      </c>
      <c r="C12" s="30">
        <f t="shared" ref="C12:X12" si="6">C11/C6</f>
        <v>0.18898337657346018</v>
      </c>
      <c r="D12" s="30">
        <f>D11/D6</f>
        <v>0.1276156223992391</v>
      </c>
      <c r="E12" s="30">
        <f t="shared" si="6"/>
        <v>0.18262578123366988</v>
      </c>
      <c r="F12" s="30">
        <f t="shared" si="6"/>
        <v>0.2141493134491225</v>
      </c>
      <c r="G12" s="30">
        <f t="shared" si="6"/>
        <v>0.20276328502415458</v>
      </c>
      <c r="H12" s="30">
        <f t="shared" si="6"/>
        <v>0.17973115843528167</v>
      </c>
      <c r="I12" s="30">
        <f t="shared" si="6"/>
        <v>0.3243553395436749</v>
      </c>
      <c r="J12" s="30">
        <f t="shared" si="6"/>
        <v>0.31179935941432169</v>
      </c>
      <c r="K12" s="30">
        <f t="shared" si="6"/>
        <v>0.30047298979337816</v>
      </c>
      <c r="L12" s="31">
        <f>L11/L6</f>
        <v>0.33679939132640124</v>
      </c>
      <c r="M12" s="30">
        <f t="shared" si="6"/>
        <v>0.31448902945246093</v>
      </c>
      <c r="N12" s="30">
        <f t="shared" si="6"/>
        <v>0.25329373077331069</v>
      </c>
      <c r="O12" s="30">
        <f t="shared" si="6"/>
        <v>0.21215270181579524</v>
      </c>
      <c r="P12" s="30">
        <f t="shared" si="6"/>
        <v>0.25517572268201993</v>
      </c>
      <c r="Q12" s="30">
        <f t="shared" si="6"/>
        <v>0.26392893684308438</v>
      </c>
      <c r="R12" s="30">
        <f t="shared" si="6"/>
        <v>0.49687677455990914</v>
      </c>
      <c r="S12" s="32">
        <f t="shared" si="6"/>
        <v>0.22012544014084506</v>
      </c>
      <c r="T12" s="32">
        <f t="shared" si="6"/>
        <v>0.24803872475379737</v>
      </c>
      <c r="U12" s="32">
        <f t="shared" si="6"/>
        <v>0.29496248660235797</v>
      </c>
      <c r="V12" s="32">
        <f t="shared" si="6"/>
        <v>0.34376191631712139</v>
      </c>
      <c r="W12" s="32">
        <f t="shared" si="6"/>
        <v>0.26424069607856199</v>
      </c>
      <c r="X12" s="32">
        <f t="shared" si="6"/>
        <v>0.2862198786237693</v>
      </c>
      <c r="Y12" s="32">
        <f t="shared" ref="Y12" si="7">Y11/Y6</f>
        <v>0.24649830220713073</v>
      </c>
      <c r="Z12" s="5"/>
      <c r="AA12" s="5"/>
      <c r="AB12" s="5"/>
      <c r="AC12" s="5"/>
      <c r="AD12" s="5"/>
      <c r="BB12" s="5"/>
      <c r="BC12" s="5"/>
      <c r="BD12" s="5"/>
      <c r="BE12" s="5"/>
      <c r="BF12" s="5"/>
      <c r="BG12" s="5"/>
    </row>
    <row r="13" spans="1:59" ht="24.75" customHeight="1">
      <c r="A13" s="5"/>
      <c r="B13" s="21" t="s">
        <v>55</v>
      </c>
      <c r="C13" s="33">
        <f t="shared" ref="C13:X13" si="8">C6-C7-C11</f>
        <v>5096</v>
      </c>
      <c r="D13" s="33">
        <f t="shared" si="8"/>
        <v>11441</v>
      </c>
      <c r="E13" s="33">
        <f t="shared" si="8"/>
        <v>7229</v>
      </c>
      <c r="F13" s="33">
        <f t="shared" si="8"/>
        <v>3887</v>
      </c>
      <c r="G13" s="33">
        <f t="shared" si="8"/>
        <v>9146</v>
      </c>
      <c r="H13" s="33">
        <f t="shared" si="8"/>
        <v>8422</v>
      </c>
      <c r="I13" s="33">
        <f t="shared" si="8"/>
        <v>1063</v>
      </c>
      <c r="J13" s="33">
        <f t="shared" si="8"/>
        <v>322</v>
      </c>
      <c r="K13" s="33">
        <f t="shared" si="8"/>
        <v>513</v>
      </c>
      <c r="L13" s="34">
        <f t="shared" si="8"/>
        <v>-522</v>
      </c>
      <c r="M13" s="33">
        <f t="shared" si="8"/>
        <v>-1030</v>
      </c>
      <c r="N13" s="33">
        <f t="shared" si="8"/>
        <v>10</v>
      </c>
      <c r="O13" s="33">
        <f t="shared" si="8"/>
        <v>8035</v>
      </c>
      <c r="P13" s="33">
        <f t="shared" si="8"/>
        <v>4004</v>
      </c>
      <c r="Q13" s="33">
        <f t="shared" si="8"/>
        <v>-3437</v>
      </c>
      <c r="R13" s="33">
        <f t="shared" si="8"/>
        <v>-4441</v>
      </c>
      <c r="S13" s="33">
        <f t="shared" si="8"/>
        <v>10868</v>
      </c>
      <c r="T13" s="33">
        <f t="shared" si="8"/>
        <v>8565</v>
      </c>
      <c r="U13" s="33">
        <f t="shared" si="8"/>
        <v>5235</v>
      </c>
      <c r="V13" s="33">
        <f t="shared" si="8"/>
        <v>1694</v>
      </c>
      <c r="W13" s="33">
        <f t="shared" si="8"/>
        <v>4983</v>
      </c>
      <c r="X13" s="33">
        <f t="shared" si="8"/>
        <v>6194</v>
      </c>
      <c r="Y13" s="33">
        <f t="shared" ref="Y13" si="9">Y6-Y7-Y11</f>
        <v>11964</v>
      </c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</row>
    <row r="14" spans="1:59" ht="24.75" customHeight="1">
      <c r="A14" s="5"/>
      <c r="B14" s="21" t="s">
        <v>23</v>
      </c>
      <c r="C14" s="24">
        <f t="shared" ref="C14:X14" si="10">C13/C6</f>
        <v>0.12241760353608148</v>
      </c>
      <c r="D14" s="24">
        <f t="shared" si="10"/>
        <v>0.17003031744144573</v>
      </c>
      <c r="E14" s="24">
        <f t="shared" si="10"/>
        <v>0.15110470098869172</v>
      </c>
      <c r="F14" s="24">
        <f t="shared" si="10"/>
        <v>8.8365008638719655E-2</v>
      </c>
      <c r="G14" s="24">
        <f t="shared" si="10"/>
        <v>0.17673429951690822</v>
      </c>
      <c r="H14" s="24">
        <f t="shared" si="10"/>
        <v>0.15900166138045613</v>
      </c>
      <c r="I14" s="24">
        <f t="shared" si="10"/>
        <v>3.5878223302281624E-2</v>
      </c>
      <c r="J14" s="24">
        <f t="shared" si="10"/>
        <v>9.2084191260581108E-3</v>
      </c>
      <c r="K14" s="24">
        <f t="shared" si="10"/>
        <v>1.4189693801344288E-2</v>
      </c>
      <c r="L14" s="28">
        <f t="shared" si="10"/>
        <v>-1.6548313466903372E-2</v>
      </c>
      <c r="M14" s="24">
        <f t="shared" si="10"/>
        <v>-2.9085364131815998E-2</v>
      </c>
      <c r="N14" s="24">
        <f t="shared" si="10"/>
        <v>2.1215657154980376E-4</v>
      </c>
      <c r="O14" s="24">
        <f t="shared" si="10"/>
        <v>0.14648508714358638</v>
      </c>
      <c r="P14" s="24">
        <f t="shared" si="10"/>
        <v>9.6053736356003352E-2</v>
      </c>
      <c r="Q14" s="24">
        <f t="shared" si="10"/>
        <v>-7.9922797879267052E-2</v>
      </c>
      <c r="R14" s="24">
        <f t="shared" si="10"/>
        <v>-0.14010347656003533</v>
      </c>
      <c r="S14" s="35">
        <f t="shared" si="10"/>
        <v>0.14948283450704225</v>
      </c>
      <c r="T14" s="35">
        <f t="shared" si="10"/>
        <v>0.10997265128461924</v>
      </c>
      <c r="U14" s="35">
        <f t="shared" si="10"/>
        <v>0.10201695410698626</v>
      </c>
      <c r="V14" s="35">
        <f t="shared" si="10"/>
        <v>2.936180538704198E-2</v>
      </c>
      <c r="W14" s="35">
        <f t="shared" si="10"/>
        <v>6.6396620874362086E-2</v>
      </c>
      <c r="X14" s="35">
        <f t="shared" si="10"/>
        <v>7.3562071709362117E-2</v>
      </c>
      <c r="Y14" s="35">
        <f t="shared" ref="Y14" si="11">Y13/Y6</f>
        <v>0.11541132890878222</v>
      </c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</row>
    <row r="15" spans="1:59" ht="24.7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</row>
    <row r="16" spans="1:59" ht="24.75" customHeight="1">
      <c r="A16" s="5"/>
      <c r="B16" s="126" t="s">
        <v>174</v>
      </c>
      <c r="C16" s="5"/>
      <c r="D16" s="5"/>
      <c r="E16" s="5"/>
      <c r="F16" s="5"/>
      <c r="G16" s="5"/>
      <c r="H16" s="5"/>
      <c r="I16" s="5"/>
      <c r="J16" s="5"/>
      <c r="K16" s="5"/>
      <c r="L16" s="6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</row>
    <row r="17" spans="1:59" ht="24.75" customHeight="1">
      <c r="A17" s="5"/>
      <c r="B17" s="21" t="s">
        <v>24</v>
      </c>
      <c r="C17" s="36">
        <v>-2084</v>
      </c>
      <c r="D17" s="36">
        <f>11258-C17</f>
        <v>13342</v>
      </c>
      <c r="E17" s="36">
        <f>30761-D17-C17</f>
        <v>19503</v>
      </c>
      <c r="F17" s="21">
        <f>39083-E17-D17-C17</f>
        <v>8322</v>
      </c>
      <c r="G17" s="36">
        <v>10847</v>
      </c>
      <c r="H17" s="36">
        <f>13131-G17</f>
        <v>2284</v>
      </c>
      <c r="I17" s="36">
        <f>15311-H17-G17</f>
        <v>2180</v>
      </c>
      <c r="J17" s="36">
        <f>17053-I17-H17-G17</f>
        <v>1742</v>
      </c>
      <c r="K17" s="36">
        <v>-6646</v>
      </c>
      <c r="L17" s="37">
        <f>-4037-K17</f>
        <v>2609</v>
      </c>
      <c r="M17" s="36">
        <f>-13461-L17-K17</f>
        <v>-9424</v>
      </c>
      <c r="N17" s="36">
        <f>-4459-M17-L17-K17</f>
        <v>9002</v>
      </c>
      <c r="O17" s="36">
        <v>16553</v>
      </c>
      <c r="P17" s="36">
        <f>21414-O17</f>
        <v>4861</v>
      </c>
      <c r="Q17" s="36">
        <f>27367-P17-O17</f>
        <v>5953</v>
      </c>
      <c r="R17" s="36">
        <f>25451-Q17-P17-O17</f>
        <v>-1916</v>
      </c>
      <c r="S17" s="36">
        <v>-4081</v>
      </c>
      <c r="T17" s="36">
        <f>1056-S17</f>
        <v>5137</v>
      </c>
      <c r="U17" s="36">
        <f>20659-T17-S17-R17</f>
        <v>21519</v>
      </c>
      <c r="V17" s="36">
        <f>23489-U17-T17-S17</f>
        <v>914</v>
      </c>
      <c r="W17" s="36">
        <v>-6406</v>
      </c>
      <c r="X17" s="36">
        <f>7187-W17</f>
        <v>13593</v>
      </c>
      <c r="Y17" s="36">
        <f>10277-X17-W17</f>
        <v>3090</v>
      </c>
      <c r="Z17" s="5"/>
      <c r="AA17" s="5"/>
      <c r="AB17" s="5"/>
      <c r="AC17" s="5"/>
      <c r="AD17" s="5"/>
      <c r="AE17" s="5"/>
      <c r="AF17" s="38"/>
      <c r="AG17" s="39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</row>
    <row r="18" spans="1:59" ht="24.75" customHeight="1">
      <c r="A18" s="5"/>
      <c r="B18" s="21" t="s">
        <v>25</v>
      </c>
      <c r="C18" s="36">
        <f>1471+544</f>
        <v>2015</v>
      </c>
      <c r="D18" s="36">
        <f>3062+370-C18</f>
        <v>1417</v>
      </c>
      <c r="E18" s="36">
        <f>4623+1461-11-D18-C18</f>
        <v>2641</v>
      </c>
      <c r="F18" s="36">
        <f>4917+1643-99-E18-D18-C18</f>
        <v>388</v>
      </c>
      <c r="G18" s="36">
        <f>3819+446</f>
        <v>4265</v>
      </c>
      <c r="H18" s="36">
        <f>7034+767-150-G18</f>
        <v>3386</v>
      </c>
      <c r="I18" s="40">
        <f>14716+873-150-H18-G18</f>
        <v>7788</v>
      </c>
      <c r="J18" s="40">
        <f>25733+1059-131-150-I18-H18-G18</f>
        <v>11072</v>
      </c>
      <c r="K18" s="40">
        <f>7650+174</f>
        <v>7824</v>
      </c>
      <c r="L18" s="41">
        <f>22732+440-4975-K18</f>
        <v>10373</v>
      </c>
      <c r="M18" s="40">
        <f>23940+696-11846-L18-K18</f>
        <v>-5407</v>
      </c>
      <c r="N18" s="40">
        <f>32114+1041-11836-M18-L18-K18</f>
        <v>8529</v>
      </c>
      <c r="O18" s="40">
        <f>2599+4054</f>
        <v>6653</v>
      </c>
      <c r="P18" s="40">
        <f>3695+228-57-O18</f>
        <v>-2787</v>
      </c>
      <c r="Q18" s="40">
        <f>5560+237-95-P18-O18</f>
        <v>1836</v>
      </c>
      <c r="R18" s="40">
        <f>6910+349-36-Q18-P18-O18</f>
        <v>1521</v>
      </c>
      <c r="S18" s="40">
        <f>1002+87-68</f>
        <v>1021</v>
      </c>
      <c r="T18" s="40">
        <f>1917+695-144-S18</f>
        <v>1447</v>
      </c>
      <c r="U18" s="40">
        <f>8492+1520-179-T18-S18</f>
        <v>7365</v>
      </c>
      <c r="V18" s="40">
        <f>11630+907-102-90-U18-T18-S18</f>
        <v>2512</v>
      </c>
      <c r="W18" s="40">
        <f>1845+212-85</f>
        <v>1972</v>
      </c>
      <c r="X18" s="40">
        <f>2907+1480-117-W18</f>
        <v>2298</v>
      </c>
      <c r="Y18" s="40">
        <f>5703+1634-159-322-X18-W18</f>
        <v>2586</v>
      </c>
      <c r="Z18" s="5"/>
      <c r="AA18" s="5"/>
      <c r="AB18" s="5"/>
      <c r="AC18" s="5"/>
      <c r="AD18" s="5"/>
      <c r="AE18" s="5"/>
      <c r="AF18" s="38"/>
      <c r="AG18" s="39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</row>
    <row r="19" spans="1:59" ht="24.75" customHeight="1">
      <c r="A19" s="5"/>
      <c r="B19" s="21" t="s">
        <v>26</v>
      </c>
      <c r="C19" s="36">
        <f t="shared" ref="C19:X19" si="12">C17-C18</f>
        <v>-4099</v>
      </c>
      <c r="D19" s="36">
        <f t="shared" si="12"/>
        <v>11925</v>
      </c>
      <c r="E19" s="36">
        <f t="shared" si="12"/>
        <v>16862</v>
      </c>
      <c r="F19" s="36">
        <f t="shared" si="12"/>
        <v>7934</v>
      </c>
      <c r="G19" s="36">
        <f t="shared" si="12"/>
        <v>6582</v>
      </c>
      <c r="H19" s="36">
        <f t="shared" si="12"/>
        <v>-1102</v>
      </c>
      <c r="I19" s="36">
        <f t="shared" si="12"/>
        <v>-5608</v>
      </c>
      <c r="J19" s="36">
        <f t="shared" si="12"/>
        <v>-9330</v>
      </c>
      <c r="K19" s="36">
        <f t="shared" si="12"/>
        <v>-14470</v>
      </c>
      <c r="L19" s="37">
        <f t="shared" si="12"/>
        <v>-7764</v>
      </c>
      <c r="M19" s="36">
        <f t="shared" si="12"/>
        <v>-4017</v>
      </c>
      <c r="N19" s="36">
        <f>N17-N18</f>
        <v>473</v>
      </c>
      <c r="O19" s="36">
        <f t="shared" si="12"/>
        <v>9900</v>
      </c>
      <c r="P19" s="36">
        <f t="shared" si="12"/>
        <v>7648</v>
      </c>
      <c r="Q19" s="36">
        <f t="shared" si="12"/>
        <v>4117</v>
      </c>
      <c r="R19" s="36">
        <f t="shared" si="12"/>
        <v>-3437</v>
      </c>
      <c r="S19" s="36">
        <f t="shared" si="12"/>
        <v>-5102</v>
      </c>
      <c r="T19" s="36">
        <f t="shared" si="12"/>
        <v>3690</v>
      </c>
      <c r="U19" s="36">
        <f t="shared" si="12"/>
        <v>14154</v>
      </c>
      <c r="V19" s="36">
        <f t="shared" si="12"/>
        <v>-1598</v>
      </c>
      <c r="W19" s="36">
        <f t="shared" si="12"/>
        <v>-8378</v>
      </c>
      <c r="X19" s="36">
        <f t="shared" si="12"/>
        <v>11295</v>
      </c>
      <c r="Y19" s="36">
        <f t="shared" ref="Y19" si="13">Y17-Y18</f>
        <v>504</v>
      </c>
      <c r="Z19" s="5"/>
      <c r="AA19" s="5"/>
      <c r="AB19" s="5"/>
      <c r="AC19" s="5"/>
      <c r="AD19" s="5"/>
      <c r="AE19" s="5"/>
      <c r="AF19" s="38"/>
      <c r="AG19" s="39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</row>
    <row r="20" spans="1:59" ht="24.75" customHeight="1">
      <c r="A20" s="5"/>
      <c r="B20" s="42" t="s">
        <v>56</v>
      </c>
      <c r="C20" s="5"/>
      <c r="D20" s="5"/>
      <c r="E20" s="5"/>
      <c r="F20" s="5"/>
      <c r="G20" s="5"/>
      <c r="H20" s="5"/>
      <c r="I20" s="5"/>
      <c r="J20" s="5"/>
      <c r="K20" s="5"/>
      <c r="L20" s="6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38"/>
      <c r="AG20" s="39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</row>
    <row r="21" spans="1:59" ht="24.75" customHeight="1">
      <c r="A21" s="5"/>
      <c r="B21" s="42" t="s">
        <v>57</v>
      </c>
      <c r="C21" s="5"/>
      <c r="D21" s="5"/>
      <c r="E21" s="5"/>
      <c r="F21" s="5"/>
      <c r="G21" s="5"/>
      <c r="H21" s="5"/>
      <c r="I21" s="5"/>
      <c r="J21" s="5"/>
      <c r="K21" s="5"/>
      <c r="L21" s="6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</row>
    <row r="22" spans="1:59" ht="24.75" customHeight="1">
      <c r="A22" s="5"/>
      <c r="B22" s="42" t="s">
        <v>58</v>
      </c>
      <c r="C22" s="5"/>
      <c r="D22" s="5"/>
      <c r="E22" s="5"/>
      <c r="F22" s="5"/>
      <c r="G22" s="5"/>
      <c r="H22" s="5"/>
      <c r="I22" s="5"/>
      <c r="J22" s="5"/>
      <c r="K22" s="5"/>
      <c r="L22" s="6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38"/>
      <c r="AG22" s="39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</row>
    <row r="23" spans="1:59" ht="24.75" customHeight="1">
      <c r="A23" s="5"/>
      <c r="B23" s="42"/>
      <c r="C23" s="5"/>
      <c r="D23" s="5"/>
      <c r="E23" s="5"/>
      <c r="F23" s="5"/>
      <c r="G23" s="5"/>
      <c r="H23" s="5"/>
      <c r="I23" s="5"/>
      <c r="J23" s="5"/>
      <c r="K23" s="5"/>
      <c r="L23" s="6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38"/>
      <c r="AG23" s="39"/>
      <c r="AH23" s="5"/>
      <c r="AI23" s="5"/>
      <c r="AJ23" s="5"/>
      <c r="AK23" s="5"/>
      <c r="AL23" s="5"/>
      <c r="AM23" s="5"/>
      <c r="AN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</row>
    <row r="24" spans="1:59" ht="24.75" customHeight="1">
      <c r="A24" s="5"/>
      <c r="B24" s="125" t="s">
        <v>176</v>
      </c>
      <c r="C24" s="5"/>
      <c r="D24" s="5"/>
      <c r="E24" s="5"/>
      <c r="F24" s="5"/>
      <c r="G24" s="5"/>
      <c r="H24" s="5"/>
      <c r="I24" s="5"/>
      <c r="J24" s="5"/>
      <c r="K24" s="5"/>
      <c r="L24" s="6"/>
      <c r="M24" s="5"/>
      <c r="N24" s="5"/>
      <c r="O24" s="5"/>
      <c r="P24" s="5"/>
      <c r="Q24" s="5" t="s">
        <v>98</v>
      </c>
      <c r="R24" s="5"/>
      <c r="S24" s="5"/>
      <c r="T24" s="5"/>
      <c r="U24" s="5"/>
      <c r="V24" s="5"/>
      <c r="W24" s="5"/>
      <c r="X24" s="5"/>
      <c r="Y24" s="5"/>
      <c r="Z24" s="5"/>
      <c r="AA24" s="5"/>
      <c r="AC24" s="5"/>
      <c r="AD24" s="5"/>
      <c r="AE24" s="5"/>
      <c r="AF24" s="38"/>
      <c r="AG24" s="39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</row>
    <row r="25" spans="1:59" ht="24.75" customHeight="1" thickBot="1">
      <c r="A25" s="5"/>
      <c r="B25" s="13" t="s">
        <v>48</v>
      </c>
      <c r="C25" s="14" t="s">
        <v>0</v>
      </c>
      <c r="D25" s="14" t="s">
        <v>1</v>
      </c>
      <c r="E25" s="14" t="s">
        <v>2</v>
      </c>
      <c r="F25" s="14" t="s">
        <v>3</v>
      </c>
      <c r="G25" s="14" t="s">
        <v>4</v>
      </c>
      <c r="H25" s="14" t="s">
        <v>5</v>
      </c>
      <c r="I25" s="14" t="s">
        <v>6</v>
      </c>
      <c r="J25" s="14" t="s">
        <v>7</v>
      </c>
      <c r="K25" s="43" t="s">
        <v>8</v>
      </c>
      <c r="L25" s="16" t="s">
        <v>9</v>
      </c>
      <c r="M25" s="14" t="s">
        <v>10</v>
      </c>
      <c r="N25" s="14" t="s">
        <v>11</v>
      </c>
      <c r="O25" s="14" t="s">
        <v>12</v>
      </c>
      <c r="P25" s="14" t="s">
        <v>13</v>
      </c>
      <c r="Q25" s="14" t="s">
        <v>14</v>
      </c>
      <c r="R25" s="14" t="s">
        <v>15</v>
      </c>
      <c r="S25" s="14" t="s">
        <v>16</v>
      </c>
      <c r="T25" s="14" t="s">
        <v>17</v>
      </c>
      <c r="U25" s="14" t="s">
        <v>18</v>
      </c>
      <c r="V25" s="14" t="s">
        <v>19</v>
      </c>
      <c r="W25" s="14" t="s">
        <v>20</v>
      </c>
      <c r="X25" s="14" t="s">
        <v>21</v>
      </c>
      <c r="Y25" s="14" t="s">
        <v>30</v>
      </c>
      <c r="Z25" s="5" t="s">
        <v>140</v>
      </c>
      <c r="AA25" s="5"/>
      <c r="AB25" s="5"/>
      <c r="AC25" s="5"/>
      <c r="AD25" s="5"/>
      <c r="AE25" s="5"/>
      <c r="AF25" s="38"/>
      <c r="AG25" s="39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</row>
    <row r="26" spans="1:59" ht="24.75" customHeight="1" thickTop="1">
      <c r="A26" s="5"/>
      <c r="B26" s="44" t="s">
        <v>59</v>
      </c>
      <c r="C26" s="45">
        <v>5002</v>
      </c>
      <c r="D26" s="45">
        <f>17146-C26</f>
        <v>12144</v>
      </c>
      <c r="E26" s="45">
        <f>19949-D26-C26</f>
        <v>2803</v>
      </c>
      <c r="F26" s="45">
        <f>20512-E26-D26-C26</f>
        <v>563</v>
      </c>
      <c r="G26" s="45">
        <v>2071</v>
      </c>
      <c r="H26" s="45">
        <f>8174-G26</f>
        <v>6103</v>
      </c>
      <c r="I26" s="45">
        <f>9806-H26-G26</f>
        <v>1632</v>
      </c>
      <c r="J26" s="45">
        <f>14321-I26-H26-G26</f>
        <v>4515</v>
      </c>
      <c r="K26" s="45">
        <v>8765</v>
      </c>
      <c r="L26" s="45">
        <f>14633-K26</f>
        <v>5868</v>
      </c>
      <c r="M26" s="45">
        <f>28147-L26-K26</f>
        <v>13514</v>
      </c>
      <c r="N26" s="45">
        <f>46881-M26-L26-K26</f>
        <v>18734</v>
      </c>
      <c r="O26" s="45">
        <v>13253</v>
      </c>
      <c r="P26" s="45">
        <f>17588-O26</f>
        <v>4335</v>
      </c>
      <c r="Q26" s="45">
        <f>22755-P26-O26</f>
        <v>5167</v>
      </c>
      <c r="R26" s="45">
        <f>31301-Q26-P26-O26</f>
        <v>8546</v>
      </c>
      <c r="S26" s="45">
        <v>24680</v>
      </c>
      <c r="T26" s="45">
        <f>55128-S26</f>
        <v>30448</v>
      </c>
      <c r="U26" s="45">
        <f>63009-T26-S26</f>
        <v>7881</v>
      </c>
      <c r="V26" s="45">
        <f>74198-U26-T26-S26</f>
        <v>11189</v>
      </c>
      <c r="W26" s="45">
        <v>22739</v>
      </c>
      <c r="X26" s="45">
        <f>48125-W26</f>
        <v>25386</v>
      </c>
      <c r="Y26" s="45">
        <f>92937-X26-W26</f>
        <v>44812</v>
      </c>
      <c r="Z26" s="98">
        <f>CORREL(C26:Y26,$C$10:$Y$10)</f>
        <v>0.18415451272535502</v>
      </c>
      <c r="AA26" s="5"/>
      <c r="AB26" s="5"/>
      <c r="AC26" s="5"/>
      <c r="AD26" s="5"/>
      <c r="AE26" s="5"/>
      <c r="AF26" s="38"/>
      <c r="AG26" s="39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</row>
    <row r="27" spans="1:59" ht="24.75" customHeight="1">
      <c r="A27" s="5"/>
      <c r="B27" s="44" t="s">
        <v>60</v>
      </c>
      <c r="C27" s="45">
        <v>24554</v>
      </c>
      <c r="D27" s="45">
        <f>64464-C27</f>
        <v>39910</v>
      </c>
      <c r="E27" s="45">
        <f>93863-D27-C27</f>
        <v>29399</v>
      </c>
      <c r="F27" s="45">
        <f>121949-E27-D27-C27</f>
        <v>28086</v>
      </c>
      <c r="G27" s="45">
        <v>33515</v>
      </c>
      <c r="H27" s="45">
        <f>64391-G27</f>
        <v>30876</v>
      </c>
      <c r="I27" s="45">
        <f>77627-H27-G27</f>
        <v>13236</v>
      </c>
      <c r="J27" s="45">
        <f>91417-I27-H27-G27</f>
        <v>13790</v>
      </c>
      <c r="K27" s="45">
        <v>11355</v>
      </c>
      <c r="L27" s="45">
        <f>23801-K27</f>
        <v>12446</v>
      </c>
      <c r="M27" s="45">
        <f>30661-L27-K27</f>
        <v>6860</v>
      </c>
      <c r="N27" s="45">
        <f>44933-M27-L27-K27</f>
        <v>14272</v>
      </c>
      <c r="O27" s="45">
        <v>23647</v>
      </c>
      <c r="P27" s="45">
        <f>43804-O27</f>
        <v>20157</v>
      </c>
      <c r="Q27" s="45">
        <f>62200-P27-O27</f>
        <v>18396</v>
      </c>
      <c r="R27" s="45">
        <f>73606-Q27-P27-O27</f>
        <v>11406</v>
      </c>
      <c r="S27" s="45">
        <v>28476</v>
      </c>
      <c r="T27" s="45">
        <f>59074-S27</f>
        <v>30598</v>
      </c>
      <c r="U27" s="45">
        <f>85001-T27-S27</f>
        <v>25927</v>
      </c>
      <c r="V27" s="45">
        <f>112682-U27-T27-S27</f>
        <v>27681</v>
      </c>
      <c r="W27" s="45">
        <v>34487</v>
      </c>
      <c r="X27" s="45">
        <f>69160-W27</f>
        <v>34673</v>
      </c>
      <c r="Y27" s="45">
        <f>104698-X27-W27</f>
        <v>35538</v>
      </c>
      <c r="Z27" s="100">
        <f>CORREL(C27:Y27,$C$10:$Y$10)</f>
        <v>0.33222447710145891</v>
      </c>
      <c r="AA27" s="5"/>
      <c r="AB27" s="5"/>
      <c r="AC27" s="5"/>
      <c r="AD27" s="5"/>
      <c r="AE27" s="5"/>
      <c r="AF27" s="38"/>
      <c r="AG27" s="39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</row>
    <row r="28" spans="1:59" ht="24.75" customHeight="1">
      <c r="A28" s="46"/>
      <c r="B28" s="47" t="s">
        <v>61</v>
      </c>
      <c r="C28" s="48">
        <v>424</v>
      </c>
      <c r="D28" s="48">
        <f>1418-C28</f>
        <v>994</v>
      </c>
      <c r="E28" s="48">
        <f>1924-D28-C28</f>
        <v>506</v>
      </c>
      <c r="F28" s="48">
        <f>2722-E28-D28-C28</f>
        <v>798</v>
      </c>
      <c r="G28" s="48">
        <v>1266</v>
      </c>
      <c r="H28" s="48">
        <f>1282-G28</f>
        <v>16</v>
      </c>
      <c r="I28" s="48">
        <f>1880-H28-G28</f>
        <v>598</v>
      </c>
      <c r="J28" s="48">
        <f>1304-I28-H28-G28</f>
        <v>-576</v>
      </c>
      <c r="K28" s="48">
        <v>124</v>
      </c>
      <c r="L28" s="49">
        <f>127-K28</f>
        <v>3</v>
      </c>
      <c r="M28" s="48">
        <f>127-L28-K28</f>
        <v>0</v>
      </c>
      <c r="N28" s="48">
        <f>179-M28-L28-K28</f>
        <v>52</v>
      </c>
      <c r="O28" s="48">
        <v>584</v>
      </c>
      <c r="P28" s="48">
        <f>6-O28</f>
        <v>-578</v>
      </c>
      <c r="Q28" s="48">
        <f>311-P28-O28</f>
        <v>305</v>
      </c>
      <c r="R28" s="48">
        <f>7-Q28-P28-O28</f>
        <v>-304</v>
      </c>
      <c r="S28" s="48">
        <v>47</v>
      </c>
      <c r="T28" s="48">
        <f>942-S28</f>
        <v>895</v>
      </c>
      <c r="U28" s="48">
        <f>923-T28-S28</f>
        <v>-19</v>
      </c>
      <c r="V28" s="48">
        <f>1029-U28-T28-S28</f>
        <v>106</v>
      </c>
      <c r="W28" s="48">
        <v>7</v>
      </c>
      <c r="X28" s="48">
        <f>161-W28</f>
        <v>154</v>
      </c>
      <c r="Y28" s="48">
        <f>127-X28-W28</f>
        <v>-34</v>
      </c>
      <c r="Z28" s="5"/>
      <c r="AA28" s="5"/>
      <c r="AB28" s="5"/>
      <c r="AC28" s="5"/>
      <c r="AD28" s="5"/>
      <c r="AE28" s="5"/>
      <c r="AF28" s="38"/>
      <c r="AG28" s="39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</row>
    <row r="29" spans="1:59" ht="24.75" customHeight="1">
      <c r="A29" s="5"/>
      <c r="B29" s="47" t="s">
        <v>62</v>
      </c>
      <c r="C29" s="48">
        <v>1772</v>
      </c>
      <c r="D29" s="48">
        <f>4221-C29</f>
        <v>2449</v>
      </c>
      <c r="E29" s="48">
        <f>6367-D29-C29</f>
        <v>2146</v>
      </c>
      <c r="F29" s="48">
        <f>8801-E29-D29-C29</f>
        <v>2434</v>
      </c>
      <c r="G29" s="48">
        <v>1208</v>
      </c>
      <c r="H29" s="48">
        <f>3000-G29</f>
        <v>1792</v>
      </c>
      <c r="I29" s="48">
        <f>4317-H29-G29</f>
        <v>1317</v>
      </c>
      <c r="J29" s="48">
        <f>5316-I29-H29-G29</f>
        <v>999</v>
      </c>
      <c r="K29" s="48">
        <v>883</v>
      </c>
      <c r="L29" s="49">
        <f>2215-K29</f>
        <v>1332</v>
      </c>
      <c r="M29" s="48">
        <f>4344-L29-K29</f>
        <v>2129</v>
      </c>
      <c r="N29" s="48">
        <f>6443-M29-L29-K29</f>
        <v>2099</v>
      </c>
      <c r="O29" s="48">
        <v>2169</v>
      </c>
      <c r="P29" s="48">
        <f>4732-O29</f>
        <v>2563</v>
      </c>
      <c r="Q29" s="50">
        <f>4965-P29-O29</f>
        <v>233</v>
      </c>
      <c r="R29" s="48">
        <f>5021-Q29-P29-O29</f>
        <v>56</v>
      </c>
      <c r="S29" s="48">
        <v>976</v>
      </c>
      <c r="T29" s="48">
        <f>792-S29</f>
        <v>-184</v>
      </c>
      <c r="U29" s="48">
        <f>3581-T29-S29</f>
        <v>2789</v>
      </c>
      <c r="V29" s="48">
        <f>4457-U29-T29-S29</f>
        <v>876</v>
      </c>
      <c r="W29" s="48">
        <v>1354</v>
      </c>
      <c r="X29" s="48">
        <f>1869-W29</f>
        <v>515</v>
      </c>
      <c r="Y29" s="48">
        <f>2687-X29-W29</f>
        <v>818</v>
      </c>
      <c r="Z29" s="5"/>
      <c r="AA29" s="5"/>
      <c r="AB29" s="5"/>
      <c r="AC29" s="5"/>
      <c r="AD29" s="5"/>
      <c r="AE29" s="5"/>
      <c r="AF29" s="38"/>
      <c r="AG29" s="39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</row>
    <row r="30" spans="1:59" ht="24.75" customHeight="1">
      <c r="A30" s="5"/>
      <c r="B30" s="47" t="s">
        <v>63</v>
      </c>
      <c r="C30" s="45">
        <v>2297</v>
      </c>
      <c r="D30" s="45">
        <f>5206-C30</f>
        <v>2909</v>
      </c>
      <c r="E30" s="45">
        <f>8640-D30-C30</f>
        <v>3434</v>
      </c>
      <c r="F30" s="45">
        <f>12370-E30-D30-C30</f>
        <v>3730</v>
      </c>
      <c r="G30" s="45">
        <v>4293</v>
      </c>
      <c r="H30" s="45">
        <f>8382-G30</f>
        <v>4089</v>
      </c>
      <c r="I30" s="45">
        <f>12589-H30-G30</f>
        <v>4207</v>
      </c>
      <c r="J30" s="45">
        <f>16607-I30-H30-G30</f>
        <v>4018</v>
      </c>
      <c r="K30" s="45">
        <v>4119</v>
      </c>
      <c r="L30" s="45">
        <f>6682-K30</f>
        <v>2563</v>
      </c>
      <c r="M30" s="45">
        <f>9030-L30-K30</f>
        <v>2348</v>
      </c>
      <c r="N30" s="45">
        <f>11185-M30-L30-K30</f>
        <v>2155</v>
      </c>
      <c r="O30" s="45">
        <v>2878</v>
      </c>
      <c r="P30" s="45">
        <f>5844-O30</f>
        <v>2966</v>
      </c>
      <c r="Q30" s="45">
        <f>9215-P30-O30</f>
        <v>3371</v>
      </c>
      <c r="R30" s="45">
        <f>12919-Q30-P30-O30</f>
        <v>3704</v>
      </c>
      <c r="S30" s="45">
        <v>5549</v>
      </c>
      <c r="T30" s="45">
        <f>8932-S30</f>
        <v>3383</v>
      </c>
      <c r="U30" s="45">
        <f>12192-T30-S30</f>
        <v>3260</v>
      </c>
      <c r="V30" s="45">
        <f>17576-U30-T30-S30</f>
        <v>5384</v>
      </c>
      <c r="W30" s="45">
        <v>3566</v>
      </c>
      <c r="X30" s="45">
        <f>8026-W30</f>
        <v>4460</v>
      </c>
      <c r="Y30" s="45">
        <f>13628-X30-W30</f>
        <v>5602</v>
      </c>
      <c r="Z30" s="100">
        <f>CORREL(C30:Y30,$C$10:$Y$10)</f>
        <v>0.47550028973203257</v>
      </c>
      <c r="AA30" s="5"/>
      <c r="AB30" s="5"/>
      <c r="AC30" s="5"/>
      <c r="AD30" s="5"/>
      <c r="AE30" s="5"/>
      <c r="AF30" s="38"/>
      <c r="AG30" s="39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</row>
    <row r="31" spans="1:59" ht="24.75" customHeight="1">
      <c r="A31" s="5"/>
      <c r="B31" s="47" t="s">
        <v>64</v>
      </c>
      <c r="C31" s="45">
        <v>7579</v>
      </c>
      <c r="D31" s="45">
        <f>16462-C31</f>
        <v>8883</v>
      </c>
      <c r="E31" s="45">
        <f>26015-D31-C31</f>
        <v>9553</v>
      </c>
      <c r="F31" s="45">
        <f>34391-E31-D31-C31</f>
        <v>8376</v>
      </c>
      <c r="G31" s="45">
        <v>9398</v>
      </c>
      <c r="H31" s="45">
        <f>19490-G31</f>
        <v>10092</v>
      </c>
      <c r="I31" s="45">
        <f>28129-H31-G31</f>
        <v>8639</v>
      </c>
      <c r="J31" s="45">
        <f>40349-I31-H31-G31</f>
        <v>12220</v>
      </c>
      <c r="K31" s="45">
        <v>10908</v>
      </c>
      <c r="L31" s="45">
        <f>20240-K31</f>
        <v>9332</v>
      </c>
      <c r="M31" s="45">
        <f>30803-L31-K31</f>
        <v>10563</v>
      </c>
      <c r="N31" s="45">
        <f>40625-M31-L31-K31</f>
        <v>9822</v>
      </c>
      <c r="O31" s="45">
        <v>12321</v>
      </c>
      <c r="P31" s="45">
        <f>24564-O31</f>
        <v>12243</v>
      </c>
      <c r="Q31" s="45">
        <f>36096-P31-O31</f>
        <v>11532</v>
      </c>
      <c r="R31" s="45">
        <f>48385-Q31-P31-O31</f>
        <v>12289</v>
      </c>
      <c r="S31" s="45">
        <v>12977</v>
      </c>
      <c r="T31" s="45">
        <f>25720-S31</f>
        <v>12743</v>
      </c>
      <c r="U31" s="45">
        <f>37197-T31-S31</f>
        <v>11477</v>
      </c>
      <c r="V31" s="45">
        <f>49654-U31-T31-S31</f>
        <v>12457</v>
      </c>
      <c r="W31" s="45">
        <v>12896</v>
      </c>
      <c r="X31" s="45">
        <f>31910-W31</f>
        <v>19014</v>
      </c>
      <c r="Y31" s="45">
        <f>48842-X31-W31</f>
        <v>16932</v>
      </c>
      <c r="Z31" s="100">
        <f>CORREL(C31:Y31,$C$10:$Y$10)</f>
        <v>0.30151988690234888</v>
      </c>
      <c r="AA31" s="5"/>
      <c r="AB31" s="5"/>
      <c r="AC31" s="5"/>
      <c r="AD31" s="5"/>
      <c r="AE31" s="5"/>
      <c r="AF31" s="38"/>
      <c r="AG31" s="39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</row>
    <row r="32" spans="1:59" ht="24.75" customHeight="1">
      <c r="A32" s="5"/>
      <c r="B32" s="51" t="s">
        <v>65</v>
      </c>
      <c r="C32" s="52">
        <f>C26+C28+C30</f>
        <v>7723</v>
      </c>
      <c r="D32" s="52">
        <f t="shared" ref="D32:Y32" si="14">D26+D28+D30</f>
        <v>16047</v>
      </c>
      <c r="E32" s="52">
        <f t="shared" si="14"/>
        <v>6743</v>
      </c>
      <c r="F32" s="52">
        <f t="shared" si="14"/>
        <v>5091</v>
      </c>
      <c r="G32" s="52">
        <f t="shared" si="14"/>
        <v>7630</v>
      </c>
      <c r="H32" s="52">
        <f t="shared" si="14"/>
        <v>10208</v>
      </c>
      <c r="I32" s="52">
        <f t="shared" si="14"/>
        <v>6437</v>
      </c>
      <c r="J32" s="52">
        <f t="shared" si="14"/>
        <v>7957</v>
      </c>
      <c r="K32" s="52">
        <f t="shared" si="14"/>
        <v>13008</v>
      </c>
      <c r="L32" s="52">
        <f t="shared" si="14"/>
        <v>8434</v>
      </c>
      <c r="M32" s="52">
        <f t="shared" si="14"/>
        <v>15862</v>
      </c>
      <c r="N32" s="52">
        <f>N26+N28+N30</f>
        <v>20941</v>
      </c>
      <c r="O32" s="52">
        <f t="shared" si="14"/>
        <v>16715</v>
      </c>
      <c r="P32" s="52">
        <f t="shared" si="14"/>
        <v>6723</v>
      </c>
      <c r="Q32" s="52">
        <f t="shared" si="14"/>
        <v>8843</v>
      </c>
      <c r="R32" s="52">
        <f t="shared" si="14"/>
        <v>11946</v>
      </c>
      <c r="S32" s="52">
        <f t="shared" si="14"/>
        <v>30276</v>
      </c>
      <c r="T32" s="52">
        <f t="shared" si="14"/>
        <v>34726</v>
      </c>
      <c r="U32" s="52">
        <f t="shared" si="14"/>
        <v>11122</v>
      </c>
      <c r="V32" s="52">
        <f t="shared" si="14"/>
        <v>16679</v>
      </c>
      <c r="W32" s="52">
        <f t="shared" si="14"/>
        <v>26312</v>
      </c>
      <c r="X32" s="52">
        <f t="shared" si="14"/>
        <v>30000</v>
      </c>
      <c r="Y32" s="52">
        <f t="shared" si="14"/>
        <v>50380</v>
      </c>
      <c r="Z32" s="98">
        <f>CORREL(C32:Y32,$C$10:$Y$10)</f>
        <v>0.21940314399320962</v>
      </c>
      <c r="AA32" s="5"/>
      <c r="AB32" s="5"/>
      <c r="AC32" s="5"/>
      <c r="AD32" s="5"/>
      <c r="AE32" s="5"/>
      <c r="AF32" s="38"/>
      <c r="AG32" s="39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</row>
    <row r="33" spans="1:59" ht="24.75" customHeight="1">
      <c r="A33" s="5"/>
      <c r="B33" s="51" t="s">
        <v>66</v>
      </c>
      <c r="C33" s="52">
        <f>C27+C29+C31</f>
        <v>33905</v>
      </c>
      <c r="D33" s="52">
        <f t="shared" ref="D33:Y33" si="15">D27+D29+D31</f>
        <v>51242</v>
      </c>
      <c r="E33" s="52">
        <f t="shared" si="15"/>
        <v>41098</v>
      </c>
      <c r="F33" s="52">
        <f t="shared" si="15"/>
        <v>38896</v>
      </c>
      <c r="G33" s="52">
        <f t="shared" si="15"/>
        <v>44121</v>
      </c>
      <c r="H33" s="52">
        <f t="shared" si="15"/>
        <v>42760</v>
      </c>
      <c r="I33" s="52">
        <f t="shared" si="15"/>
        <v>23192</v>
      </c>
      <c r="J33" s="52">
        <f t="shared" si="15"/>
        <v>27009</v>
      </c>
      <c r="K33" s="52">
        <f t="shared" si="15"/>
        <v>23146</v>
      </c>
      <c r="L33" s="52">
        <f t="shared" si="15"/>
        <v>23110</v>
      </c>
      <c r="M33" s="52">
        <f t="shared" si="15"/>
        <v>19552</v>
      </c>
      <c r="N33" s="52">
        <f t="shared" si="15"/>
        <v>26193</v>
      </c>
      <c r="O33" s="52">
        <f t="shared" si="15"/>
        <v>38137</v>
      </c>
      <c r="P33" s="52">
        <f t="shared" si="15"/>
        <v>34963</v>
      </c>
      <c r="Q33" s="52">
        <f t="shared" si="15"/>
        <v>30161</v>
      </c>
      <c r="R33" s="52">
        <f t="shared" si="15"/>
        <v>23751</v>
      </c>
      <c r="S33" s="52">
        <f t="shared" si="15"/>
        <v>42429</v>
      </c>
      <c r="T33" s="52">
        <f t="shared" si="15"/>
        <v>43157</v>
      </c>
      <c r="U33" s="52">
        <f t="shared" si="15"/>
        <v>40193</v>
      </c>
      <c r="V33" s="52">
        <f t="shared" si="15"/>
        <v>41014</v>
      </c>
      <c r="W33" s="52">
        <f t="shared" si="15"/>
        <v>48737</v>
      </c>
      <c r="X33" s="52">
        <f t="shared" si="15"/>
        <v>54202</v>
      </c>
      <c r="Y33" s="52">
        <f t="shared" si="15"/>
        <v>53288</v>
      </c>
      <c r="Z33" s="98">
        <f>CORREL(C33:Y33,$C$10:$Y$10)</f>
        <v>0.37534449192485603</v>
      </c>
      <c r="AA33" s="5"/>
      <c r="AB33" s="5"/>
      <c r="AC33" s="5"/>
      <c r="AD33" s="5"/>
      <c r="AE33" s="5"/>
      <c r="AF33" s="38"/>
      <c r="AG33" s="53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</row>
    <row r="34" spans="1:59" ht="31.2" customHeight="1">
      <c r="B34" s="54" t="s">
        <v>29</v>
      </c>
      <c r="C34" s="55">
        <f t="shared" ref="C34:Q34" si="16">C32+C33</f>
        <v>41628</v>
      </c>
      <c r="D34" s="55">
        <f t="shared" si="16"/>
        <v>67289</v>
      </c>
      <c r="E34" s="55">
        <f t="shared" si="16"/>
        <v>47841</v>
      </c>
      <c r="F34" s="55">
        <f t="shared" si="16"/>
        <v>43987</v>
      </c>
      <c r="G34" s="55">
        <f t="shared" si="16"/>
        <v>51751</v>
      </c>
      <c r="H34" s="55">
        <f t="shared" si="16"/>
        <v>52968</v>
      </c>
      <c r="I34" s="55">
        <f t="shared" si="16"/>
        <v>29629</v>
      </c>
      <c r="J34" s="55">
        <f t="shared" si="16"/>
        <v>34966</v>
      </c>
      <c r="K34" s="55">
        <f t="shared" si="16"/>
        <v>36154</v>
      </c>
      <c r="L34" s="55">
        <f t="shared" si="16"/>
        <v>31544</v>
      </c>
      <c r="M34" s="55">
        <f t="shared" si="16"/>
        <v>35414</v>
      </c>
      <c r="N34" s="55">
        <f t="shared" si="16"/>
        <v>47134</v>
      </c>
      <c r="O34" s="55">
        <f t="shared" si="16"/>
        <v>54852</v>
      </c>
      <c r="P34" s="55">
        <f t="shared" si="16"/>
        <v>41686</v>
      </c>
      <c r="Q34" s="55">
        <f t="shared" si="16"/>
        <v>39004</v>
      </c>
      <c r="R34" s="55">
        <f>R32+R33</f>
        <v>35697</v>
      </c>
      <c r="S34" s="55">
        <f t="shared" ref="S34:X34" si="17">S32+S33</f>
        <v>72705</v>
      </c>
      <c r="T34" s="55">
        <f t="shared" si="17"/>
        <v>77883</v>
      </c>
      <c r="U34" s="55">
        <f t="shared" si="17"/>
        <v>51315</v>
      </c>
      <c r="V34" s="55">
        <f t="shared" si="17"/>
        <v>57693</v>
      </c>
      <c r="W34" s="55">
        <f t="shared" si="17"/>
        <v>75049</v>
      </c>
      <c r="X34" s="55">
        <f t="shared" si="17"/>
        <v>84202</v>
      </c>
      <c r="Y34" s="55">
        <f t="shared" ref="Y34" si="18">Y32+Y33</f>
        <v>103668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9" ht="24.75" customHeight="1">
      <c r="A35" s="56" t="s">
        <v>67</v>
      </c>
      <c r="B35" s="57" t="s">
        <v>68</v>
      </c>
      <c r="C35" s="58">
        <f>C32/C34</f>
        <v>0.18552416642644373</v>
      </c>
      <c r="D35" s="58">
        <f t="shared" ref="D35:X35" si="19">D32/D34</f>
        <v>0.23847880039828204</v>
      </c>
      <c r="E35" s="58">
        <f t="shared" si="19"/>
        <v>0.14094605045881148</v>
      </c>
      <c r="F35" s="58">
        <f t="shared" si="19"/>
        <v>0.11573874099165662</v>
      </c>
      <c r="G35" s="58">
        <f t="shared" si="19"/>
        <v>0.14743676450696605</v>
      </c>
      <c r="H35" s="58">
        <f t="shared" si="19"/>
        <v>0.19272013291043649</v>
      </c>
      <c r="I35" s="58">
        <f t="shared" si="19"/>
        <v>0.21725336663404096</v>
      </c>
      <c r="J35" s="58">
        <f t="shared" si="19"/>
        <v>0.22756391923582908</v>
      </c>
      <c r="K35" s="58">
        <f t="shared" si="19"/>
        <v>0.3597942136416441</v>
      </c>
      <c r="L35" s="58">
        <f t="shared" si="19"/>
        <v>0.26737255896525486</v>
      </c>
      <c r="M35" s="58">
        <f t="shared" si="19"/>
        <v>0.44790195967696389</v>
      </c>
      <c r="N35" s="58">
        <f t="shared" si="19"/>
        <v>0.44428650231255568</v>
      </c>
      <c r="O35" s="58">
        <f t="shared" si="19"/>
        <v>0.30472908918544445</v>
      </c>
      <c r="P35" s="58">
        <f t="shared" si="19"/>
        <v>0.16127716739432904</v>
      </c>
      <c r="Q35" s="58">
        <f t="shared" si="19"/>
        <v>0.22672033637575634</v>
      </c>
      <c r="R35" s="58">
        <f t="shared" si="19"/>
        <v>0.33464997058576351</v>
      </c>
      <c r="S35" s="58">
        <f t="shared" si="19"/>
        <v>0.41642252939962865</v>
      </c>
      <c r="T35" s="58">
        <f t="shared" si="19"/>
        <v>0.44587393911379891</v>
      </c>
      <c r="U35" s="58">
        <f t="shared" si="19"/>
        <v>0.21673974471402124</v>
      </c>
      <c r="V35" s="58">
        <f t="shared" si="19"/>
        <v>0.28909919747629698</v>
      </c>
      <c r="W35" s="58">
        <f t="shared" si="19"/>
        <v>0.35059760956175301</v>
      </c>
      <c r="X35" s="58">
        <f t="shared" si="19"/>
        <v>0.35628607396498896</v>
      </c>
      <c r="Y35" s="58">
        <f t="shared" ref="Y35" si="20">Y32/Y34</f>
        <v>0.48597445692016822</v>
      </c>
      <c r="Z35" s="98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9" ht="24.75" customHeight="1">
      <c r="A36" s="59">
        <f>CORREL(C36:X36,C10:X10)</f>
        <v>-0.10293304554570314</v>
      </c>
      <c r="B36" s="57" t="s">
        <v>69</v>
      </c>
      <c r="C36" s="58">
        <f>(C30+C31)/C34</f>
        <v>0.23724416258287692</v>
      </c>
      <c r="D36" s="58">
        <f t="shared" ref="D36:Y36" si="21">(D30+D31)/D34</f>
        <v>0.17524409636047497</v>
      </c>
      <c r="E36" s="58">
        <f t="shared" si="21"/>
        <v>0.27146171693735499</v>
      </c>
      <c r="F36" s="58">
        <f t="shared" si="21"/>
        <v>0.2752176779503035</v>
      </c>
      <c r="G36" s="58">
        <f t="shared" si="21"/>
        <v>0.26455527429421655</v>
      </c>
      <c r="H36" s="58">
        <f t="shared" si="21"/>
        <v>0.26772768463978253</v>
      </c>
      <c r="I36" s="58">
        <f t="shared" si="21"/>
        <v>0.43356171318640518</v>
      </c>
      <c r="J36" s="58">
        <f t="shared" si="21"/>
        <v>0.46439398272607674</v>
      </c>
      <c r="K36" s="58">
        <f t="shared" si="21"/>
        <v>0.41563865685677931</v>
      </c>
      <c r="L36" s="58">
        <f t="shared" si="21"/>
        <v>0.37709231549581534</v>
      </c>
      <c r="M36" s="58">
        <f t="shared" si="21"/>
        <v>0.36457333258033547</v>
      </c>
      <c r="N36" s="58">
        <f t="shared" si="21"/>
        <v>0.25410531675648151</v>
      </c>
      <c r="O36" s="58">
        <f t="shared" si="21"/>
        <v>0.27709108145555311</v>
      </c>
      <c r="P36" s="58">
        <f t="shared" si="21"/>
        <v>0.3648467111260375</v>
      </c>
      <c r="Q36" s="58">
        <f t="shared" si="21"/>
        <v>0.38208901651112709</v>
      </c>
      <c r="R36" s="58">
        <f t="shared" si="21"/>
        <v>0.44802084208757037</v>
      </c>
      <c r="S36" s="58">
        <f t="shared" si="21"/>
        <v>0.25481053572656626</v>
      </c>
      <c r="T36" s="58">
        <f t="shared" si="21"/>
        <v>0.20705417100008988</v>
      </c>
      <c r="U36" s="58">
        <f t="shared" si="21"/>
        <v>0.28718698236383122</v>
      </c>
      <c r="V36" s="58">
        <f t="shared" si="21"/>
        <v>0.30924028911653062</v>
      </c>
      <c r="W36" s="58">
        <f t="shared" si="21"/>
        <v>0.21935002465056164</v>
      </c>
      <c r="X36" s="58">
        <f t="shared" si="21"/>
        <v>0.27878197667513838</v>
      </c>
      <c r="Y36" s="58">
        <f t="shared" si="21"/>
        <v>0.21736697920283984</v>
      </c>
      <c r="Z36" s="98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9" ht="24.75" customHeight="1">
      <c r="A37" s="60"/>
      <c r="B37" s="124" t="s">
        <v>175</v>
      </c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9" ht="24.75" customHeight="1">
      <c r="A38" s="5"/>
      <c r="B38" s="93" t="s">
        <v>137</v>
      </c>
      <c r="C38" s="45">
        <v>730</v>
      </c>
      <c r="D38" s="45">
        <f>2082-C38</f>
        <v>1352</v>
      </c>
      <c r="E38" s="45">
        <f>2911-D38-C38</f>
        <v>829</v>
      </c>
      <c r="F38" s="45">
        <f>3513-E38-D38-C38</f>
        <v>602</v>
      </c>
      <c r="G38" s="45">
        <v>940</v>
      </c>
      <c r="H38" s="45">
        <f>1847-G38</f>
        <v>907</v>
      </c>
      <c r="I38" s="45">
        <f>2123-H38-G38</f>
        <v>276</v>
      </c>
      <c r="J38" s="45">
        <f>2671-I38-H38-G38</f>
        <v>548</v>
      </c>
      <c r="K38" s="45">
        <v>718</v>
      </c>
      <c r="L38" s="45">
        <f>1425-K38</f>
        <v>707</v>
      </c>
      <c r="M38" s="45">
        <f>2078-L38-K38</f>
        <v>653</v>
      </c>
      <c r="N38" s="45">
        <f>2910-M38-L38-K38</f>
        <v>832</v>
      </c>
      <c r="O38" s="45">
        <v>840</v>
      </c>
      <c r="P38" s="45">
        <f>840-O38</f>
        <v>0</v>
      </c>
      <c r="Q38" s="45">
        <f>2232-P38-O38</f>
        <v>1392</v>
      </c>
      <c r="R38" s="45">
        <f>3830-Q38-P38-O38</f>
        <v>1598</v>
      </c>
      <c r="S38" s="45">
        <v>2063</v>
      </c>
      <c r="T38" s="45">
        <f>4378-S38</f>
        <v>2315</v>
      </c>
      <c r="U38" s="45">
        <f>5140-T38-S38</f>
        <v>762</v>
      </c>
      <c r="V38" s="45">
        <f>6756-U38-T38-S38</f>
        <v>1616</v>
      </c>
      <c r="W38" s="45">
        <v>2033</v>
      </c>
      <c r="X38" s="45">
        <f>4294-W38</f>
        <v>2261</v>
      </c>
      <c r="Y38" s="45">
        <f>7479-X38-W38</f>
        <v>3185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</row>
    <row r="39" spans="1:59" ht="24.75" customHeight="1">
      <c r="A39" s="5"/>
      <c r="B39" s="93" t="s">
        <v>138</v>
      </c>
      <c r="C39" s="45">
        <v>1503</v>
      </c>
      <c r="D39" s="45">
        <f>3560-C39</f>
        <v>2057</v>
      </c>
      <c r="E39" s="45">
        <f>5363-D39-C39</f>
        <v>1803</v>
      </c>
      <c r="F39" s="45">
        <f>7098-E39-D39-C39</f>
        <v>1735</v>
      </c>
      <c r="G39" s="45">
        <v>2001</v>
      </c>
      <c r="H39" s="45">
        <f>4298-G39</f>
        <v>2297</v>
      </c>
      <c r="I39" s="45">
        <f>5297-H39-G39</f>
        <v>999</v>
      </c>
      <c r="J39" s="45">
        <f>8786-I39-H39-G39</f>
        <v>3489</v>
      </c>
      <c r="K39" s="45">
        <v>2318</v>
      </c>
      <c r="L39" s="45">
        <f>4185-K39</f>
        <v>1867</v>
      </c>
      <c r="M39" s="45">
        <f>6272-L39-K39</f>
        <v>2087</v>
      </c>
      <c r="N39" s="45">
        <f>7488-M39-L39-K39</f>
        <v>1216</v>
      </c>
      <c r="O39" s="45">
        <v>1966</v>
      </c>
      <c r="P39" s="45">
        <f>3924-O39</f>
        <v>1958</v>
      </c>
      <c r="Q39" s="45">
        <f>6010-P39-O39</f>
        <v>2086</v>
      </c>
      <c r="R39" s="45">
        <f>8000-Q39-P39-O39</f>
        <v>1990</v>
      </c>
      <c r="S39" s="45">
        <v>2219</v>
      </c>
      <c r="T39" s="45">
        <f>4584-S39</f>
        <v>2365</v>
      </c>
      <c r="U39" s="45">
        <f>6229-T39-S39</f>
        <v>1645</v>
      </c>
      <c r="V39" s="50">
        <f>6230-U39-T39-S39</f>
        <v>1</v>
      </c>
      <c r="W39" s="45">
        <v>2335</v>
      </c>
      <c r="X39" s="45">
        <f>4980-W39</f>
        <v>2645</v>
      </c>
      <c r="Y39" s="50">
        <f>5521-X39-W39</f>
        <v>541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</row>
    <row r="40" spans="1:59" ht="24.75" customHeight="1">
      <c r="A40" s="62"/>
      <c r="B40" s="124" t="s">
        <v>172</v>
      </c>
      <c r="C40" s="5"/>
      <c r="D40" s="5"/>
      <c r="E40" s="5"/>
      <c r="F40" s="5"/>
      <c r="G40" s="5"/>
      <c r="H40" s="5"/>
      <c r="I40" s="5"/>
      <c r="J40" s="5"/>
      <c r="K40" s="11"/>
      <c r="L40" s="12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9" ht="24.75" customHeight="1" thickBot="1">
      <c r="A41" s="5"/>
      <c r="B41" s="63" t="s">
        <v>70</v>
      </c>
      <c r="C41" s="14" t="s">
        <v>0</v>
      </c>
      <c r="D41" s="14" t="s">
        <v>1</v>
      </c>
      <c r="E41" s="14" t="s">
        <v>2</v>
      </c>
      <c r="F41" s="14" t="s">
        <v>3</v>
      </c>
      <c r="G41" s="14" t="s">
        <v>4</v>
      </c>
      <c r="H41" s="14" t="s">
        <v>5</v>
      </c>
      <c r="I41" s="14" t="s">
        <v>6</v>
      </c>
      <c r="J41" s="14" t="s">
        <v>7</v>
      </c>
      <c r="K41" s="14" t="s">
        <v>8</v>
      </c>
      <c r="L41" s="16" t="s">
        <v>9</v>
      </c>
      <c r="M41" s="14" t="s">
        <v>10</v>
      </c>
      <c r="N41" s="14" t="s">
        <v>11</v>
      </c>
      <c r="O41" s="14" t="s">
        <v>12</v>
      </c>
      <c r="P41" s="14" t="s">
        <v>13</v>
      </c>
      <c r="Q41" s="14" t="s">
        <v>14</v>
      </c>
      <c r="R41" s="14" t="s">
        <v>15</v>
      </c>
      <c r="S41" s="14" t="s">
        <v>16</v>
      </c>
      <c r="T41" s="14" t="s">
        <v>17</v>
      </c>
      <c r="U41" s="14" t="s">
        <v>18</v>
      </c>
      <c r="V41" s="14" t="s">
        <v>19</v>
      </c>
      <c r="W41" s="14" t="s">
        <v>20</v>
      </c>
      <c r="X41" s="14" t="s">
        <v>21</v>
      </c>
      <c r="Y41" s="14" t="s">
        <v>30</v>
      </c>
      <c r="Z41" s="14" t="s">
        <v>31</v>
      </c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9" ht="24.75" customHeight="1" thickTop="1">
      <c r="A42" s="5"/>
      <c r="B42" s="44" t="s">
        <v>71</v>
      </c>
      <c r="C42" s="64">
        <v>26204</v>
      </c>
      <c r="D42" s="64">
        <v>17620</v>
      </c>
      <c r="E42" s="64">
        <v>13879</v>
      </c>
      <c r="F42" s="64">
        <v>18727</v>
      </c>
      <c r="G42" s="64">
        <v>18014</v>
      </c>
      <c r="H42" s="64">
        <v>6952</v>
      </c>
      <c r="I42" s="64">
        <v>8148</v>
      </c>
      <c r="J42" s="64">
        <v>5444</v>
      </c>
      <c r="K42" s="64">
        <v>4660</v>
      </c>
      <c r="L42" s="64">
        <v>10102</v>
      </c>
      <c r="M42" s="64">
        <v>7148</v>
      </c>
      <c r="N42" s="64">
        <v>22865</v>
      </c>
      <c r="O42" s="64">
        <v>29112</v>
      </c>
      <c r="P42" s="64">
        <v>10734</v>
      </c>
      <c r="Q42" s="64">
        <v>7491</v>
      </c>
      <c r="R42" s="64">
        <v>4904</v>
      </c>
      <c r="S42" s="64">
        <v>13538</v>
      </c>
      <c r="T42" s="64">
        <v>13096</v>
      </c>
      <c r="U42" s="64">
        <v>15006</v>
      </c>
      <c r="V42" s="64">
        <v>15650</v>
      </c>
      <c r="W42" s="64">
        <v>25215</v>
      </c>
      <c r="X42" s="65">
        <v>29698</v>
      </c>
      <c r="Y42" s="65">
        <v>31553</v>
      </c>
      <c r="Z42" s="66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9" ht="24.75" customHeight="1">
      <c r="A43" s="67" t="s">
        <v>33</v>
      </c>
      <c r="B43" s="47" t="s">
        <v>72</v>
      </c>
      <c r="C43" s="48">
        <v>6490</v>
      </c>
      <c r="D43" s="48">
        <v>2901</v>
      </c>
      <c r="E43" s="48">
        <v>2625</v>
      </c>
      <c r="F43" s="48">
        <v>8358</v>
      </c>
      <c r="G43" s="48">
        <v>2451</v>
      </c>
      <c r="H43" s="48">
        <v>2359</v>
      </c>
      <c r="I43" s="48">
        <v>5030</v>
      </c>
      <c r="J43" s="48">
        <v>5645</v>
      </c>
      <c r="K43" s="48">
        <v>5651</v>
      </c>
      <c r="L43" s="48">
        <v>6239</v>
      </c>
      <c r="M43" s="48">
        <v>3314</v>
      </c>
      <c r="N43" s="48">
        <v>3822</v>
      </c>
      <c r="O43" s="48">
        <v>2624</v>
      </c>
      <c r="P43" s="48">
        <v>193</v>
      </c>
      <c r="Q43" s="48">
        <v>2256</v>
      </c>
      <c r="R43" s="48">
        <v>19015</v>
      </c>
      <c r="S43" s="48">
        <v>2191</v>
      </c>
      <c r="T43" s="48">
        <v>4677</v>
      </c>
      <c r="U43" s="48">
        <v>5116</v>
      </c>
      <c r="V43" s="48">
        <v>20668</v>
      </c>
      <c r="W43" s="48">
        <v>40735</v>
      </c>
      <c r="X43" s="68">
        <v>75450</v>
      </c>
      <c r="Y43" s="68">
        <v>106619</v>
      </c>
      <c r="Z43" s="68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9" ht="24.75" customHeight="1">
      <c r="A44" s="59">
        <f>CORREL(C44:Y44,C6:Y6)</f>
        <v>0.76279662812783666</v>
      </c>
      <c r="B44" s="69" t="s">
        <v>73</v>
      </c>
      <c r="C44" s="69">
        <f t="shared" ref="C44:Y44" si="22">SUM(C42:C43)</f>
        <v>32694</v>
      </c>
      <c r="D44" s="69">
        <f t="shared" si="22"/>
        <v>20521</v>
      </c>
      <c r="E44" s="69">
        <f t="shared" si="22"/>
        <v>16504</v>
      </c>
      <c r="F44" s="69">
        <f t="shared" si="22"/>
        <v>27085</v>
      </c>
      <c r="G44" s="69">
        <f t="shared" si="22"/>
        <v>20465</v>
      </c>
      <c r="H44" s="69">
        <f t="shared" si="22"/>
        <v>9311</v>
      </c>
      <c r="I44" s="69">
        <f t="shared" si="22"/>
        <v>13178</v>
      </c>
      <c r="J44" s="69">
        <f t="shared" si="22"/>
        <v>11089</v>
      </c>
      <c r="K44" s="69">
        <f t="shared" si="22"/>
        <v>10311</v>
      </c>
      <c r="L44" s="69">
        <f t="shared" si="22"/>
        <v>16341</v>
      </c>
      <c r="M44" s="69">
        <f t="shared" si="22"/>
        <v>10462</v>
      </c>
      <c r="N44" s="69">
        <f t="shared" si="22"/>
        <v>26687</v>
      </c>
      <c r="O44" s="69">
        <f t="shared" si="22"/>
        <v>31736</v>
      </c>
      <c r="P44" s="69">
        <f t="shared" si="22"/>
        <v>10927</v>
      </c>
      <c r="Q44" s="69">
        <f t="shared" si="22"/>
        <v>9747</v>
      </c>
      <c r="R44" s="69">
        <f t="shared" si="22"/>
        <v>23919</v>
      </c>
      <c r="S44" s="69">
        <f t="shared" si="22"/>
        <v>15729</v>
      </c>
      <c r="T44" s="69">
        <f t="shared" si="22"/>
        <v>17773</v>
      </c>
      <c r="U44" s="69">
        <f t="shared" si="22"/>
        <v>20122</v>
      </c>
      <c r="V44" s="69">
        <f t="shared" si="22"/>
        <v>36318</v>
      </c>
      <c r="W44" s="69">
        <f t="shared" si="22"/>
        <v>65950</v>
      </c>
      <c r="X44" s="69">
        <f t="shared" si="22"/>
        <v>105148</v>
      </c>
      <c r="Y44" s="69">
        <f t="shared" si="22"/>
        <v>138172</v>
      </c>
      <c r="Z44" s="66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9" ht="24.75" customHeight="1">
      <c r="A45" s="70">
        <f>CORREL(D45:Y45,D6:Y6)</f>
        <v>0.80923432017836983</v>
      </c>
      <c r="B45" s="45" t="s">
        <v>74</v>
      </c>
      <c r="C45" s="45"/>
      <c r="D45" s="45">
        <f>C44</f>
        <v>32694</v>
      </c>
      <c r="E45" s="45">
        <f t="shared" ref="E45:Y45" si="23">D44</f>
        <v>20521</v>
      </c>
      <c r="F45" s="45">
        <f t="shared" si="23"/>
        <v>16504</v>
      </c>
      <c r="G45" s="45">
        <f t="shared" si="23"/>
        <v>27085</v>
      </c>
      <c r="H45" s="45">
        <f t="shared" si="23"/>
        <v>20465</v>
      </c>
      <c r="I45" s="45">
        <f t="shared" si="23"/>
        <v>9311</v>
      </c>
      <c r="J45" s="45">
        <f t="shared" si="23"/>
        <v>13178</v>
      </c>
      <c r="K45" s="45">
        <f t="shared" si="23"/>
        <v>11089</v>
      </c>
      <c r="L45" s="45">
        <f t="shared" si="23"/>
        <v>10311</v>
      </c>
      <c r="M45" s="45">
        <f t="shared" si="23"/>
        <v>16341</v>
      </c>
      <c r="N45" s="45">
        <f t="shared" si="23"/>
        <v>10462</v>
      </c>
      <c r="O45" s="45">
        <f t="shared" si="23"/>
        <v>26687</v>
      </c>
      <c r="P45" s="45">
        <f t="shared" si="23"/>
        <v>31736</v>
      </c>
      <c r="Q45" s="45">
        <f t="shared" si="23"/>
        <v>10927</v>
      </c>
      <c r="R45" s="45">
        <f t="shared" si="23"/>
        <v>9747</v>
      </c>
      <c r="S45" s="45">
        <f t="shared" si="23"/>
        <v>23919</v>
      </c>
      <c r="T45" s="45">
        <f t="shared" si="23"/>
        <v>15729</v>
      </c>
      <c r="U45" s="45">
        <f t="shared" si="23"/>
        <v>17773</v>
      </c>
      <c r="V45" s="45">
        <f t="shared" si="23"/>
        <v>20122</v>
      </c>
      <c r="W45" s="45">
        <f t="shared" si="23"/>
        <v>36318</v>
      </c>
      <c r="X45" s="45">
        <f t="shared" si="23"/>
        <v>65950</v>
      </c>
      <c r="Y45" s="45">
        <f t="shared" si="23"/>
        <v>105148</v>
      </c>
      <c r="Z45" s="66">
        <f>Y44</f>
        <v>138172</v>
      </c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9" ht="24.75" customHeight="1">
      <c r="A46" s="71">
        <f>CORREL(E46:Y46,E6:Y6)</f>
        <v>0.64654439317072232</v>
      </c>
      <c r="B46" s="45" t="s">
        <v>75</v>
      </c>
      <c r="C46" s="45"/>
      <c r="D46" s="45"/>
      <c r="E46" s="45">
        <f>C44</f>
        <v>32694</v>
      </c>
      <c r="F46" s="45">
        <f t="shared" ref="F46:Y46" si="24">D44</f>
        <v>20521</v>
      </c>
      <c r="G46" s="45">
        <f t="shared" si="24"/>
        <v>16504</v>
      </c>
      <c r="H46" s="45">
        <f t="shared" si="24"/>
        <v>27085</v>
      </c>
      <c r="I46" s="45">
        <f t="shared" si="24"/>
        <v>20465</v>
      </c>
      <c r="J46" s="45">
        <f t="shared" si="24"/>
        <v>9311</v>
      </c>
      <c r="K46" s="45">
        <f t="shared" si="24"/>
        <v>13178</v>
      </c>
      <c r="L46" s="45">
        <f t="shared" si="24"/>
        <v>11089</v>
      </c>
      <c r="M46" s="45">
        <f t="shared" si="24"/>
        <v>10311</v>
      </c>
      <c r="N46" s="45">
        <f t="shared" si="24"/>
        <v>16341</v>
      </c>
      <c r="O46" s="45">
        <f t="shared" si="24"/>
        <v>10462</v>
      </c>
      <c r="P46" s="45">
        <f t="shared" si="24"/>
        <v>26687</v>
      </c>
      <c r="Q46" s="45">
        <f t="shared" si="24"/>
        <v>31736</v>
      </c>
      <c r="R46" s="45">
        <f t="shared" si="24"/>
        <v>10927</v>
      </c>
      <c r="S46" s="45">
        <f t="shared" si="24"/>
        <v>9747</v>
      </c>
      <c r="T46" s="45">
        <f t="shared" si="24"/>
        <v>23919</v>
      </c>
      <c r="U46" s="45">
        <f t="shared" si="24"/>
        <v>15729</v>
      </c>
      <c r="V46" s="45">
        <f t="shared" si="24"/>
        <v>17773</v>
      </c>
      <c r="W46" s="45">
        <f t="shared" si="24"/>
        <v>20122</v>
      </c>
      <c r="X46" s="45">
        <f t="shared" si="24"/>
        <v>36318</v>
      </c>
      <c r="Y46" s="45">
        <f t="shared" si="24"/>
        <v>65950</v>
      </c>
      <c r="Z46" s="66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9" ht="24.75" customHeight="1">
      <c r="A47" s="46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9" ht="24.75" customHeight="1">
      <c r="A48" s="67" t="s">
        <v>33</v>
      </c>
      <c r="B48" s="5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9" ht="24.75" customHeight="1">
      <c r="A49" s="71">
        <f>CORREL(L49:Y49,L6:Y6)</f>
        <v>0.74849915222918373</v>
      </c>
      <c r="B49" s="66" t="s">
        <v>76</v>
      </c>
      <c r="C49" s="45"/>
      <c r="D49" s="45"/>
      <c r="E49" s="45"/>
      <c r="F49" s="45"/>
      <c r="G49" s="45"/>
      <c r="H49" s="45"/>
      <c r="I49" s="45"/>
      <c r="J49" s="45"/>
      <c r="K49" s="45"/>
      <c r="L49" s="45">
        <f>K50</f>
        <v>1958</v>
      </c>
      <c r="M49" s="45">
        <f t="shared" ref="M49:Y49" si="25">L50</f>
        <v>1375</v>
      </c>
      <c r="N49" s="45">
        <f t="shared" si="25"/>
        <v>1628</v>
      </c>
      <c r="O49" s="45">
        <f t="shared" si="25"/>
        <v>1341</v>
      </c>
      <c r="P49" s="45">
        <f t="shared" si="25"/>
        <v>2990</v>
      </c>
      <c r="Q49" s="45">
        <f t="shared" si="25"/>
        <v>5766</v>
      </c>
      <c r="R49" s="45">
        <f t="shared" si="25"/>
        <v>5237</v>
      </c>
      <c r="S49" s="45">
        <f t="shared" si="25"/>
        <v>9373</v>
      </c>
      <c r="T49" s="45">
        <f t="shared" si="25"/>
        <v>7518</v>
      </c>
      <c r="U49" s="45">
        <f t="shared" si="25"/>
        <v>7932</v>
      </c>
      <c r="V49" s="45">
        <f t="shared" si="25"/>
        <v>7351</v>
      </c>
      <c r="W49" s="45">
        <f t="shared" si="25"/>
        <v>4297</v>
      </c>
      <c r="X49" s="45">
        <f t="shared" si="25"/>
        <v>10139</v>
      </c>
      <c r="Y49" s="45">
        <f t="shared" si="25"/>
        <v>11265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9" ht="24.75" customHeight="1">
      <c r="A50" s="71">
        <f>CORREL(K50:Y50,K6:Y6)</f>
        <v>0.77998794478808042</v>
      </c>
      <c r="B50" s="73" t="s">
        <v>77</v>
      </c>
      <c r="C50" s="69"/>
      <c r="D50" s="69"/>
      <c r="E50" s="69"/>
      <c r="F50" s="69"/>
      <c r="G50" s="69"/>
      <c r="H50" s="69"/>
      <c r="I50" s="69"/>
      <c r="J50" s="69"/>
      <c r="K50" s="69">
        <v>1958</v>
      </c>
      <c r="L50" s="69">
        <v>1375</v>
      </c>
      <c r="M50" s="69">
        <v>1628</v>
      </c>
      <c r="N50" s="69">
        <f>6302-M50-L50-K50</f>
        <v>1341</v>
      </c>
      <c r="O50" s="69">
        <v>2990</v>
      </c>
      <c r="P50" s="69">
        <v>5766</v>
      </c>
      <c r="Q50" s="69">
        <v>5237</v>
      </c>
      <c r="R50" s="69">
        <f>23366-Q50-P50-O50</f>
        <v>9373</v>
      </c>
      <c r="S50" s="69">
        <v>7518</v>
      </c>
      <c r="T50" s="69">
        <v>7932</v>
      </c>
      <c r="U50" s="69">
        <v>7351</v>
      </c>
      <c r="V50" s="69">
        <f>27098-U50-T50-S50</f>
        <v>4297</v>
      </c>
      <c r="W50" s="69">
        <v>10139</v>
      </c>
      <c r="X50" s="69">
        <v>11265</v>
      </c>
      <c r="Y50" s="69">
        <f>15441</f>
        <v>15441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9" ht="24.75" customHeight="1">
      <c r="A51" s="5"/>
      <c r="B51" s="66" t="s">
        <v>99</v>
      </c>
      <c r="C51" s="45"/>
      <c r="D51" s="45"/>
      <c r="E51" s="45"/>
      <c r="F51" s="45"/>
      <c r="G51" s="45"/>
      <c r="H51" s="45"/>
      <c r="I51" s="45"/>
      <c r="J51" s="45"/>
      <c r="K51" s="45"/>
      <c r="L51" s="74"/>
      <c r="M51" s="45"/>
      <c r="N51" s="45"/>
      <c r="O51" s="45"/>
      <c r="P51" s="45"/>
      <c r="Q51" s="45"/>
      <c r="R51" s="45">
        <v>3128</v>
      </c>
      <c r="S51" s="45">
        <v>3360</v>
      </c>
      <c r="T51" s="45">
        <v>1901</v>
      </c>
      <c r="U51" s="45">
        <v>1076</v>
      </c>
      <c r="V51" s="45">
        <v>4387</v>
      </c>
      <c r="W51" s="45">
        <v>7039</v>
      </c>
      <c r="X51" s="45">
        <v>10741</v>
      </c>
      <c r="Y51" s="45">
        <v>8617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</row>
    <row r="52" spans="1:59" ht="24.75" customHeight="1">
      <c r="A52" s="5"/>
      <c r="B52" s="124" t="s">
        <v>172</v>
      </c>
      <c r="C52" s="9"/>
      <c r="D52" s="9"/>
      <c r="E52" s="9"/>
      <c r="F52" s="9"/>
      <c r="G52" s="9"/>
      <c r="H52" s="9"/>
      <c r="I52" s="9"/>
      <c r="J52" s="9"/>
      <c r="K52" s="9"/>
      <c r="L52" s="75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</row>
    <row r="53" spans="1:59" ht="24.75" customHeight="1">
      <c r="A53" s="5"/>
      <c r="B53" s="5" t="s">
        <v>78</v>
      </c>
      <c r="C53" s="9"/>
      <c r="D53" s="9"/>
      <c r="E53" s="9"/>
      <c r="F53" s="9"/>
      <c r="G53" s="9"/>
      <c r="H53" s="9"/>
      <c r="I53" s="9"/>
      <c r="J53" s="9"/>
      <c r="K53" s="9"/>
      <c r="L53" s="75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</row>
    <row r="54" spans="1:59" ht="24.75" customHeight="1" thickBot="1">
      <c r="A54" s="5"/>
      <c r="B54" s="13" t="s">
        <v>79</v>
      </c>
      <c r="C54" s="14" t="s">
        <v>0</v>
      </c>
      <c r="D54" s="14" t="s">
        <v>1</v>
      </c>
      <c r="E54" s="14" t="s">
        <v>2</v>
      </c>
      <c r="F54" s="14" t="s">
        <v>3</v>
      </c>
      <c r="G54" s="14" t="s">
        <v>4</v>
      </c>
      <c r="H54" s="14" t="s">
        <v>5</v>
      </c>
      <c r="I54" s="14" t="s">
        <v>6</v>
      </c>
      <c r="J54" s="14" t="s">
        <v>7</v>
      </c>
      <c r="K54" s="14" t="s">
        <v>8</v>
      </c>
      <c r="L54" s="16" t="s">
        <v>9</v>
      </c>
      <c r="M54" s="14" t="s">
        <v>10</v>
      </c>
      <c r="N54" s="14" t="s">
        <v>11</v>
      </c>
      <c r="O54" s="14" t="s">
        <v>12</v>
      </c>
      <c r="P54" s="14" t="s">
        <v>13</v>
      </c>
      <c r="Q54" s="14" t="s">
        <v>14</v>
      </c>
      <c r="R54" s="14" t="s">
        <v>15</v>
      </c>
      <c r="S54" s="14" t="s">
        <v>16</v>
      </c>
      <c r="T54" s="14" t="s">
        <v>17</v>
      </c>
      <c r="U54" s="14" t="s">
        <v>18</v>
      </c>
      <c r="V54" s="14" t="s">
        <v>19</v>
      </c>
      <c r="W54" s="14" t="s">
        <v>20</v>
      </c>
      <c r="X54" s="14" t="s">
        <v>21</v>
      </c>
      <c r="Y54" s="14" t="s">
        <v>30</v>
      </c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</row>
    <row r="55" spans="1:59" ht="24.75" customHeight="1" thickTop="1">
      <c r="A55" s="5"/>
      <c r="B55" s="21" t="s">
        <v>80</v>
      </c>
      <c r="C55" s="21">
        <v>1458</v>
      </c>
      <c r="D55" s="21">
        <v>1197</v>
      </c>
      <c r="E55" s="21">
        <v>566</v>
      </c>
      <c r="F55" s="21">
        <v>487</v>
      </c>
      <c r="G55" s="21">
        <v>1050</v>
      </c>
      <c r="H55" s="21">
        <v>908</v>
      </c>
      <c r="I55" s="21">
        <v>880</v>
      </c>
      <c r="J55" s="21">
        <v>473</v>
      </c>
      <c r="K55" s="21">
        <v>379</v>
      </c>
      <c r="L55" s="76">
        <v>903</v>
      </c>
      <c r="M55" s="21">
        <v>704</v>
      </c>
      <c r="N55" s="21">
        <v>1248</v>
      </c>
      <c r="O55" s="21">
        <v>3636</v>
      </c>
      <c r="P55" s="21">
        <v>2911</v>
      </c>
      <c r="Q55" s="21">
        <v>2518</v>
      </c>
      <c r="R55" s="21">
        <v>285</v>
      </c>
      <c r="S55" s="21">
        <v>243</v>
      </c>
      <c r="T55" s="21">
        <v>556</v>
      </c>
      <c r="U55" s="21">
        <v>101</v>
      </c>
      <c r="V55" s="21">
        <v>800</v>
      </c>
      <c r="W55" s="21">
        <v>81</v>
      </c>
      <c r="X55" s="21">
        <v>475</v>
      </c>
      <c r="Y55" s="21">
        <v>516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</row>
    <row r="56" spans="1:59" ht="24.75" customHeight="1">
      <c r="A56" s="5"/>
      <c r="B56" s="21" t="s">
        <v>81</v>
      </c>
      <c r="C56" s="21">
        <v>11319</v>
      </c>
      <c r="D56" s="21">
        <v>7044</v>
      </c>
      <c r="E56" s="21">
        <v>7513</v>
      </c>
      <c r="F56" s="21">
        <v>4970</v>
      </c>
      <c r="G56" s="21">
        <v>6206</v>
      </c>
      <c r="H56" s="21">
        <v>5267</v>
      </c>
      <c r="I56" s="21">
        <v>4833</v>
      </c>
      <c r="J56" s="21">
        <v>4288</v>
      </c>
      <c r="K56" s="21">
        <v>5738</v>
      </c>
      <c r="L56" s="76">
        <v>6196</v>
      </c>
      <c r="M56" s="21">
        <v>6863</v>
      </c>
      <c r="N56" s="21">
        <v>7392</v>
      </c>
      <c r="O56" s="21">
        <v>7588</v>
      </c>
      <c r="P56" s="21">
        <v>11869</v>
      </c>
      <c r="Q56" s="21">
        <v>5130</v>
      </c>
      <c r="R56" s="21">
        <v>11664</v>
      </c>
      <c r="S56" s="21">
        <v>11302</v>
      </c>
      <c r="T56" s="21">
        <v>12083</v>
      </c>
      <c r="U56" s="21">
        <v>8335</v>
      </c>
      <c r="V56" s="21">
        <v>13871</v>
      </c>
      <c r="W56" s="21">
        <v>13954</v>
      </c>
      <c r="X56" s="7">
        <v>14983</v>
      </c>
      <c r="Y56" s="21">
        <v>15303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</row>
    <row r="57" spans="1:59" ht="24.75" customHeight="1">
      <c r="A57" s="5"/>
      <c r="B57" s="21" t="s">
        <v>82</v>
      </c>
      <c r="C57" s="21">
        <v>8531</v>
      </c>
      <c r="D57" s="21">
        <v>8107</v>
      </c>
      <c r="E57" s="21">
        <v>3101</v>
      </c>
      <c r="F57" s="21">
        <v>4036</v>
      </c>
      <c r="G57" s="21">
        <v>4581</v>
      </c>
      <c r="H57" s="21">
        <v>4070</v>
      </c>
      <c r="I57" s="21">
        <v>3609</v>
      </c>
      <c r="J57" s="21">
        <v>4499</v>
      </c>
      <c r="K57" s="21">
        <v>4854</v>
      </c>
      <c r="L57" s="76">
        <v>4164</v>
      </c>
      <c r="M57" s="21">
        <v>4280</v>
      </c>
      <c r="N57" s="21">
        <v>3188</v>
      </c>
      <c r="O57" s="21">
        <v>3788</v>
      </c>
      <c r="P57" s="21">
        <v>2832</v>
      </c>
      <c r="Q57" s="21">
        <v>2941</v>
      </c>
      <c r="R57" s="21">
        <v>2827</v>
      </c>
      <c r="S57" s="21">
        <v>2698</v>
      </c>
      <c r="T57" s="21">
        <v>2491</v>
      </c>
      <c r="U57" s="21">
        <v>2188</v>
      </c>
      <c r="V57" s="21">
        <v>3131</v>
      </c>
      <c r="W57" s="21">
        <v>3207</v>
      </c>
      <c r="X57" s="21">
        <v>3586</v>
      </c>
      <c r="Y57" s="21">
        <v>4195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</row>
    <row r="58" spans="1:59" ht="24.75" customHeight="1">
      <c r="A58" s="5"/>
      <c r="B58" s="77" t="s">
        <v>83</v>
      </c>
      <c r="C58" s="21">
        <v>13844</v>
      </c>
      <c r="D58" s="21">
        <v>10763</v>
      </c>
      <c r="E58" s="21">
        <v>7244</v>
      </c>
      <c r="F58" s="21">
        <v>7485</v>
      </c>
      <c r="G58" s="21">
        <v>9420</v>
      </c>
      <c r="H58" s="21">
        <v>10722</v>
      </c>
      <c r="I58" s="21">
        <v>8622</v>
      </c>
      <c r="J58" s="21">
        <v>9143</v>
      </c>
      <c r="K58" s="21">
        <v>11411</v>
      </c>
      <c r="L58" s="76">
        <v>10873</v>
      </c>
      <c r="M58" s="21">
        <v>11544</v>
      </c>
      <c r="N58" s="21">
        <v>9098</v>
      </c>
      <c r="O58" s="21">
        <v>9460</v>
      </c>
      <c r="P58" s="21">
        <v>10282</v>
      </c>
      <c r="Q58" s="21">
        <v>10077</v>
      </c>
      <c r="R58" s="21">
        <v>13232</v>
      </c>
      <c r="S58" s="21">
        <v>19141</v>
      </c>
      <c r="T58" s="21">
        <v>17792</v>
      </c>
      <c r="U58" s="21">
        <v>19576</v>
      </c>
      <c r="V58" s="21">
        <v>21699</v>
      </c>
      <c r="W58" s="21">
        <v>29120</v>
      </c>
      <c r="X58" s="21">
        <v>30495</v>
      </c>
      <c r="Y58" s="21">
        <v>37771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</row>
    <row r="59" spans="1:59" ht="24.75" customHeight="1">
      <c r="A59" s="5"/>
      <c r="B59" s="77" t="s">
        <v>84</v>
      </c>
      <c r="C59" s="21">
        <v>1857</v>
      </c>
      <c r="D59" s="21">
        <v>2511</v>
      </c>
      <c r="E59" s="21">
        <v>301</v>
      </c>
      <c r="F59" s="21">
        <v>1709</v>
      </c>
      <c r="G59" s="21">
        <v>1992</v>
      </c>
      <c r="H59" s="21">
        <v>2388</v>
      </c>
      <c r="I59" s="21">
        <v>2262</v>
      </c>
      <c r="J59" s="21">
        <v>2579</v>
      </c>
      <c r="K59" s="21">
        <v>4074</v>
      </c>
      <c r="L59" s="76">
        <v>4939</v>
      </c>
      <c r="M59" s="21">
        <v>4951</v>
      </c>
      <c r="N59" s="21">
        <v>4583</v>
      </c>
      <c r="O59" s="21">
        <v>4693</v>
      </c>
      <c r="P59" s="21">
        <v>3646</v>
      </c>
      <c r="Q59" s="21">
        <v>3870</v>
      </c>
      <c r="R59" s="21">
        <v>3637</v>
      </c>
      <c r="S59" s="21">
        <v>3692</v>
      </c>
      <c r="T59" s="21">
        <v>3899</v>
      </c>
      <c r="U59" s="21">
        <v>5008</v>
      </c>
      <c r="V59" s="21">
        <v>5324</v>
      </c>
      <c r="W59" s="21">
        <v>5464</v>
      </c>
      <c r="X59" s="21">
        <v>5086</v>
      </c>
      <c r="Y59" s="21">
        <v>5356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</row>
    <row r="60" spans="1:59" ht="24.75" customHeight="1">
      <c r="A60" s="5"/>
      <c r="B60" s="77" t="s">
        <v>85</v>
      </c>
      <c r="C60" s="21">
        <v>378</v>
      </c>
      <c r="D60" s="21">
        <v>459</v>
      </c>
      <c r="E60" s="21">
        <v>402</v>
      </c>
      <c r="F60" s="21">
        <v>296</v>
      </c>
      <c r="G60" s="21">
        <v>372</v>
      </c>
      <c r="H60" s="21">
        <v>217</v>
      </c>
      <c r="I60" s="21">
        <v>708</v>
      </c>
      <c r="J60" s="21">
        <v>450</v>
      </c>
      <c r="K60" s="21">
        <v>250</v>
      </c>
      <c r="L60" s="76">
        <v>35</v>
      </c>
      <c r="M60" s="21">
        <v>13</v>
      </c>
      <c r="N60" s="21">
        <v>100</v>
      </c>
      <c r="O60" s="21">
        <v>607</v>
      </c>
      <c r="P60" s="21">
        <v>291</v>
      </c>
      <c r="Q60" s="21">
        <v>62</v>
      </c>
      <c r="R60" s="21">
        <v>183</v>
      </c>
      <c r="S60" s="21">
        <v>4</v>
      </c>
      <c r="T60" s="21">
        <v>332</v>
      </c>
      <c r="U60" s="21">
        <v>31</v>
      </c>
      <c r="V60" s="21">
        <v>181</v>
      </c>
      <c r="W60" s="21">
        <v>75</v>
      </c>
      <c r="X60" s="21">
        <v>19</v>
      </c>
      <c r="Y60" s="21">
        <v>3116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</row>
    <row r="61" spans="1:59" ht="24.75" customHeight="1">
      <c r="A61" s="5"/>
      <c r="B61" s="77" t="s">
        <v>86</v>
      </c>
      <c r="C61" s="21">
        <f>SUM(C55:C60)</f>
        <v>37387</v>
      </c>
      <c r="D61" s="21">
        <f t="shared" ref="D61:Y61" si="26">SUM(D55:D60)</f>
        <v>30081</v>
      </c>
      <c r="E61" s="21">
        <f t="shared" si="26"/>
        <v>19127</v>
      </c>
      <c r="F61" s="21">
        <f t="shared" si="26"/>
        <v>18983</v>
      </c>
      <c r="G61" s="21">
        <f t="shared" si="26"/>
        <v>23621</v>
      </c>
      <c r="H61" s="21">
        <f t="shared" si="26"/>
        <v>23572</v>
      </c>
      <c r="I61" s="21">
        <f t="shared" si="26"/>
        <v>20914</v>
      </c>
      <c r="J61" s="21">
        <f t="shared" si="26"/>
        <v>21432</v>
      </c>
      <c r="K61" s="21">
        <f t="shared" si="26"/>
        <v>26706</v>
      </c>
      <c r="L61" s="21">
        <f t="shared" si="26"/>
        <v>27110</v>
      </c>
      <c r="M61" s="21">
        <f t="shared" si="26"/>
        <v>28355</v>
      </c>
      <c r="N61" s="21">
        <f t="shared" si="26"/>
        <v>25609</v>
      </c>
      <c r="O61" s="21">
        <f t="shared" si="26"/>
        <v>29772</v>
      </c>
      <c r="P61" s="21">
        <f t="shared" si="26"/>
        <v>31831</v>
      </c>
      <c r="Q61" s="21">
        <f t="shared" si="26"/>
        <v>24598</v>
      </c>
      <c r="R61" s="21">
        <f t="shared" si="26"/>
        <v>31828</v>
      </c>
      <c r="S61" s="21">
        <f t="shared" si="26"/>
        <v>37080</v>
      </c>
      <c r="T61" s="21">
        <f t="shared" si="26"/>
        <v>37153</v>
      </c>
      <c r="U61" s="21">
        <f t="shared" si="26"/>
        <v>35239</v>
      </c>
      <c r="V61" s="21">
        <f t="shared" si="26"/>
        <v>45006</v>
      </c>
      <c r="W61" s="21">
        <f t="shared" si="26"/>
        <v>51901</v>
      </c>
      <c r="X61" s="21">
        <f t="shared" si="26"/>
        <v>54644</v>
      </c>
      <c r="Y61" s="21">
        <f t="shared" si="26"/>
        <v>66257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</row>
    <row r="62" spans="1:59" ht="24.75" customHeight="1">
      <c r="A62" s="5"/>
      <c r="B62" s="21" t="s">
        <v>87</v>
      </c>
      <c r="C62" s="78"/>
      <c r="D62" s="78">
        <f t="shared" ref="D62:Y62" si="27">D7/((D61+C61)/2)</f>
        <v>1.4009604553269699</v>
      </c>
      <c r="E62" s="78">
        <f t="shared" si="27"/>
        <v>1.2955210534872379</v>
      </c>
      <c r="F62" s="78">
        <f t="shared" si="27"/>
        <v>1.6101285751771188</v>
      </c>
      <c r="G62" s="78">
        <f t="shared" si="27"/>
        <v>1.5074171439301474</v>
      </c>
      <c r="H62" s="78">
        <f t="shared" si="27"/>
        <v>1.4843726823893375</v>
      </c>
      <c r="I62" s="78">
        <f t="shared" si="27"/>
        <v>0.85217821337049859</v>
      </c>
      <c r="J62" s="78">
        <f t="shared" si="27"/>
        <v>1.1213810041090067</v>
      </c>
      <c r="K62" s="78">
        <f t="shared" si="27"/>
        <v>1.0294154306369188</v>
      </c>
      <c r="L62" s="79">
        <f t="shared" si="27"/>
        <v>0.79686338635350085</v>
      </c>
      <c r="M62" s="78">
        <f t="shared" si="27"/>
        <v>0.91250338051023172</v>
      </c>
      <c r="N62" s="78">
        <f t="shared" si="27"/>
        <v>1.3040545548884441</v>
      </c>
      <c r="O62" s="78">
        <f t="shared" si="27"/>
        <v>1.2704718224661888</v>
      </c>
      <c r="P62" s="78">
        <f t="shared" si="27"/>
        <v>0.87800918786422744</v>
      </c>
      <c r="Q62" s="78">
        <f t="shared" si="27"/>
        <v>1.243722199578231</v>
      </c>
      <c r="R62" s="78">
        <f t="shared" si="27"/>
        <v>0.72268103356608659</v>
      </c>
      <c r="S62" s="78">
        <f t="shared" si="27"/>
        <v>1.3302374180066174</v>
      </c>
      <c r="T62" s="78">
        <f t="shared" si="27"/>
        <v>1.3471097759756443</v>
      </c>
      <c r="U62" s="78">
        <f t="shared" si="27"/>
        <v>0.85490109404354075</v>
      </c>
      <c r="V62" s="78">
        <f t="shared" si="27"/>
        <v>0.90141441834382208</v>
      </c>
      <c r="W62" s="78">
        <f t="shared" si="27"/>
        <v>1.0367672097990857</v>
      </c>
      <c r="X62" s="78">
        <f t="shared" si="27"/>
        <v>1.0119104603688582</v>
      </c>
      <c r="Y62" s="78">
        <f t="shared" si="27"/>
        <v>1.0942341254414769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</row>
    <row r="63" spans="1:59" ht="24.75" customHeight="1">
      <c r="A63" s="5"/>
      <c r="B63" s="124" t="s">
        <v>172</v>
      </c>
      <c r="C63" s="9"/>
      <c r="D63" s="9"/>
      <c r="E63" s="9"/>
      <c r="F63" s="9"/>
      <c r="G63" s="9"/>
      <c r="H63" s="9"/>
      <c r="I63" s="9"/>
      <c r="J63" s="9"/>
      <c r="K63" s="9"/>
      <c r="L63" s="75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</row>
    <row r="64" spans="1:59" ht="24.75" customHeight="1">
      <c r="A64" s="5"/>
      <c r="B64" s="5" t="s">
        <v>88</v>
      </c>
      <c r="C64" s="80"/>
      <c r="D64" s="80"/>
      <c r="E64" s="80"/>
      <c r="F64" s="80"/>
      <c r="G64" s="80"/>
      <c r="H64" s="80"/>
      <c r="I64" s="80"/>
      <c r="J64" s="80"/>
      <c r="K64" s="80"/>
      <c r="L64" s="81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</row>
    <row r="65" spans="1:59" ht="24.75" customHeight="1" thickBot="1">
      <c r="A65" s="5"/>
      <c r="B65" s="13" t="s">
        <v>88</v>
      </c>
      <c r="C65" s="14" t="s">
        <v>0</v>
      </c>
      <c r="D65" s="14" t="s">
        <v>1</v>
      </c>
      <c r="E65" s="14" t="s">
        <v>2</v>
      </c>
      <c r="F65" s="14" t="s">
        <v>3</v>
      </c>
      <c r="G65" s="14" t="s">
        <v>4</v>
      </c>
      <c r="H65" s="14" t="s">
        <v>5</v>
      </c>
      <c r="I65" s="14" t="s">
        <v>6</v>
      </c>
      <c r="J65" s="14" t="s">
        <v>7</v>
      </c>
      <c r="K65" s="14" t="s">
        <v>8</v>
      </c>
      <c r="L65" s="16" t="s">
        <v>9</v>
      </c>
      <c r="M65" s="14" t="s">
        <v>10</v>
      </c>
      <c r="N65" s="14" t="s">
        <v>11</v>
      </c>
      <c r="O65" s="14" t="s">
        <v>12</v>
      </c>
      <c r="P65" s="14" t="s">
        <v>13</v>
      </c>
      <c r="Q65" s="14" t="s">
        <v>14</v>
      </c>
      <c r="R65" s="14" t="s">
        <v>15</v>
      </c>
      <c r="S65" s="14" t="s">
        <v>16</v>
      </c>
      <c r="T65" s="14" t="s">
        <v>17</v>
      </c>
      <c r="U65" s="14" t="s">
        <v>18</v>
      </c>
      <c r="V65" s="14" t="s">
        <v>19</v>
      </c>
      <c r="W65" s="14" t="s">
        <v>20</v>
      </c>
      <c r="X65" s="14" t="s">
        <v>21</v>
      </c>
      <c r="Y65" s="14" t="s">
        <v>30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</row>
    <row r="66" spans="1:59" ht="24.75" customHeight="1" thickTop="1">
      <c r="A66" s="5"/>
      <c r="B66" s="66" t="s">
        <v>89</v>
      </c>
      <c r="C66" s="66">
        <v>14198</v>
      </c>
      <c r="D66" s="66">
        <v>21512</v>
      </c>
      <c r="E66" s="66">
        <v>13677</v>
      </c>
      <c r="F66" s="66">
        <v>15036</v>
      </c>
      <c r="G66" s="66">
        <v>14996</v>
      </c>
      <c r="H66" s="66">
        <v>17445</v>
      </c>
      <c r="I66" s="66">
        <v>10627</v>
      </c>
      <c r="J66" s="82">
        <v>12361</v>
      </c>
      <c r="K66" s="82">
        <v>13021</v>
      </c>
      <c r="L66" s="82">
        <v>13640</v>
      </c>
      <c r="M66" s="82">
        <v>20940</v>
      </c>
      <c r="N66" s="82">
        <v>30367</v>
      </c>
      <c r="O66" s="82">
        <v>28355</v>
      </c>
      <c r="P66" s="82">
        <v>21811</v>
      </c>
      <c r="Q66" s="82">
        <v>20746</v>
      </c>
      <c r="R66" s="82">
        <v>17721</v>
      </c>
      <c r="S66" s="82">
        <v>30482</v>
      </c>
      <c r="T66" s="82">
        <v>34404</v>
      </c>
      <c r="U66" s="82">
        <v>23283</v>
      </c>
      <c r="V66" s="82">
        <v>29004</v>
      </c>
      <c r="W66" s="82">
        <v>41329</v>
      </c>
      <c r="X66" s="82">
        <v>41057</v>
      </c>
      <c r="Y66" s="82">
        <v>51559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</row>
    <row r="67" spans="1:59" ht="24.75" customHeight="1">
      <c r="A67" s="5"/>
      <c r="B67" s="66" t="s">
        <v>90</v>
      </c>
      <c r="C67" s="66">
        <v>443</v>
      </c>
      <c r="D67" s="66">
        <v>453</v>
      </c>
      <c r="E67" s="66">
        <v>515</v>
      </c>
      <c r="F67" s="66">
        <v>360</v>
      </c>
      <c r="G67" s="66">
        <v>380</v>
      </c>
      <c r="H67" s="66">
        <v>381</v>
      </c>
      <c r="I67" s="66">
        <v>423</v>
      </c>
      <c r="J67" s="82">
        <v>469</v>
      </c>
      <c r="K67" s="82">
        <v>419</v>
      </c>
      <c r="L67" s="82">
        <v>414</v>
      </c>
      <c r="M67" s="82">
        <v>436</v>
      </c>
      <c r="N67" s="82">
        <v>1077</v>
      </c>
      <c r="O67" s="82">
        <v>1222</v>
      </c>
      <c r="P67" s="82">
        <v>1784</v>
      </c>
      <c r="Q67" s="82">
        <v>1927</v>
      </c>
      <c r="R67" s="82">
        <v>1802</v>
      </c>
      <c r="S67" s="82">
        <v>1889</v>
      </c>
      <c r="T67" s="82">
        <v>2874</v>
      </c>
      <c r="U67" s="82">
        <v>2424</v>
      </c>
      <c r="V67" s="82">
        <v>1780</v>
      </c>
      <c r="W67" s="82">
        <v>2022</v>
      </c>
      <c r="X67" s="82">
        <v>2835</v>
      </c>
      <c r="Y67" s="82">
        <v>2850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</row>
    <row r="68" spans="1:59" ht="24.75" customHeight="1">
      <c r="A68" s="5"/>
      <c r="B68" s="66" t="s">
        <v>88</v>
      </c>
      <c r="C68" s="82">
        <f>C66-C67</f>
        <v>13755</v>
      </c>
      <c r="D68" s="82">
        <f t="shared" ref="D68:Y68" si="28">D66-D67</f>
        <v>21059</v>
      </c>
      <c r="E68" s="82">
        <f t="shared" si="28"/>
        <v>13162</v>
      </c>
      <c r="F68" s="82">
        <f t="shared" si="28"/>
        <v>14676</v>
      </c>
      <c r="G68" s="82">
        <f t="shared" si="28"/>
        <v>14616</v>
      </c>
      <c r="H68" s="82">
        <f t="shared" si="28"/>
        <v>17064</v>
      </c>
      <c r="I68" s="82">
        <f t="shared" si="28"/>
        <v>10204</v>
      </c>
      <c r="J68" s="82">
        <f t="shared" si="28"/>
        <v>11892</v>
      </c>
      <c r="K68" s="82">
        <f t="shared" si="28"/>
        <v>12602</v>
      </c>
      <c r="L68" s="82">
        <f t="shared" si="28"/>
        <v>13226</v>
      </c>
      <c r="M68" s="82">
        <f t="shared" si="28"/>
        <v>20504</v>
      </c>
      <c r="N68" s="82">
        <f t="shared" si="28"/>
        <v>29290</v>
      </c>
      <c r="O68" s="82">
        <f t="shared" si="28"/>
        <v>27133</v>
      </c>
      <c r="P68" s="82">
        <f t="shared" si="28"/>
        <v>20027</v>
      </c>
      <c r="Q68" s="82">
        <f t="shared" si="28"/>
        <v>18819</v>
      </c>
      <c r="R68" s="82">
        <f>R66-R67</f>
        <v>15919</v>
      </c>
      <c r="S68" s="82">
        <f t="shared" si="28"/>
        <v>28593</v>
      </c>
      <c r="T68" s="82">
        <f t="shared" si="28"/>
        <v>31530</v>
      </c>
      <c r="U68" s="82">
        <f t="shared" si="28"/>
        <v>20859</v>
      </c>
      <c r="V68" s="82">
        <f t="shared" si="28"/>
        <v>27224</v>
      </c>
      <c r="W68" s="82">
        <f t="shared" si="28"/>
        <v>39307</v>
      </c>
      <c r="X68" s="82">
        <f t="shared" si="28"/>
        <v>38222</v>
      </c>
      <c r="Y68" s="82">
        <f t="shared" si="28"/>
        <v>48709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</row>
    <row r="69" spans="1:59" ht="24.75" customHeight="1">
      <c r="A69" s="5"/>
      <c r="B69" s="66" t="s">
        <v>91</v>
      </c>
      <c r="C69" s="83"/>
      <c r="D69" s="83">
        <f t="shared" ref="D69:Y69" si="29">TRUNC(D6/((D68+C68)/2),2)</f>
        <v>3.86</v>
      </c>
      <c r="E69" s="83">
        <f t="shared" si="29"/>
        <v>2.79</v>
      </c>
      <c r="F69" s="83">
        <f t="shared" si="29"/>
        <v>3.16</v>
      </c>
      <c r="G69" s="83">
        <f t="shared" si="29"/>
        <v>3.53</v>
      </c>
      <c r="H69" s="83">
        <f t="shared" si="29"/>
        <v>3.34</v>
      </c>
      <c r="I69" s="83">
        <f t="shared" si="29"/>
        <v>2.17</v>
      </c>
      <c r="J69" s="83">
        <f t="shared" si="29"/>
        <v>3.16</v>
      </c>
      <c r="K69" s="83">
        <f t="shared" si="29"/>
        <v>2.95</v>
      </c>
      <c r="L69" s="83">
        <f t="shared" si="29"/>
        <v>2.44</v>
      </c>
      <c r="M69" s="83">
        <f t="shared" si="29"/>
        <v>2.09</v>
      </c>
      <c r="N69" s="83">
        <f t="shared" si="29"/>
        <v>1.89</v>
      </c>
      <c r="O69" s="83">
        <f t="shared" si="29"/>
        <v>1.94</v>
      </c>
      <c r="P69" s="83">
        <f t="shared" si="29"/>
        <v>1.76</v>
      </c>
      <c r="Q69" s="83">
        <f t="shared" si="29"/>
        <v>2.21</v>
      </c>
      <c r="R69" s="83">
        <f t="shared" si="29"/>
        <v>1.82</v>
      </c>
      <c r="S69" s="83">
        <f t="shared" si="29"/>
        <v>3.26</v>
      </c>
      <c r="T69" s="83">
        <f t="shared" si="29"/>
        <v>2.59</v>
      </c>
      <c r="U69" s="83">
        <f t="shared" si="29"/>
        <v>1.95</v>
      </c>
      <c r="V69" s="83">
        <f t="shared" si="29"/>
        <v>2.39</v>
      </c>
      <c r="W69" s="83">
        <f t="shared" si="29"/>
        <v>2.25</v>
      </c>
      <c r="X69" s="83">
        <f t="shared" si="29"/>
        <v>2.17</v>
      </c>
      <c r="Y69" s="83">
        <f t="shared" si="29"/>
        <v>2.38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</row>
    <row r="70" spans="1:59" ht="24.75" customHeight="1">
      <c r="A70" s="5"/>
      <c r="B70" s="66" t="s">
        <v>92</v>
      </c>
      <c r="C70" s="58">
        <f t="shared" ref="C70:X70" si="30">C67/C66</f>
        <v>3.1201577686998168E-2</v>
      </c>
      <c r="D70" s="58">
        <f t="shared" si="30"/>
        <v>2.1058014131647453E-2</v>
      </c>
      <c r="E70" s="58">
        <f t="shared" si="30"/>
        <v>3.7654456386634498E-2</v>
      </c>
      <c r="F70" s="58">
        <f t="shared" si="30"/>
        <v>2.3942537909018357E-2</v>
      </c>
      <c r="G70" s="58">
        <f t="shared" si="30"/>
        <v>2.5340090690850893E-2</v>
      </c>
      <c r="H70" s="58">
        <f t="shared" si="30"/>
        <v>2.1840068787618228E-2</v>
      </c>
      <c r="I70" s="58">
        <f t="shared" si="30"/>
        <v>3.9804272137009503E-2</v>
      </c>
      <c r="J70" s="58">
        <f t="shared" si="30"/>
        <v>3.7941914084620984E-2</v>
      </c>
      <c r="K70" s="58">
        <f t="shared" si="30"/>
        <v>3.2178788111512174E-2</v>
      </c>
      <c r="L70" s="58">
        <f t="shared" si="30"/>
        <v>3.0351906158357773E-2</v>
      </c>
      <c r="M70" s="58">
        <f t="shared" si="30"/>
        <v>2.0821394460362942E-2</v>
      </c>
      <c r="N70" s="58">
        <f t="shared" si="30"/>
        <v>3.5466130997464353E-2</v>
      </c>
      <c r="O70" s="58">
        <f t="shared" si="30"/>
        <v>4.3096455651560568E-2</v>
      </c>
      <c r="P70" s="58">
        <f t="shared" si="30"/>
        <v>8.1793590390170104E-2</v>
      </c>
      <c r="Q70" s="58">
        <f t="shared" si="30"/>
        <v>9.2885375494071151E-2</v>
      </c>
      <c r="R70" s="58">
        <f t="shared" si="30"/>
        <v>0.10168726369843688</v>
      </c>
      <c r="S70" s="58">
        <f t="shared" si="30"/>
        <v>6.1970999278262578E-2</v>
      </c>
      <c r="T70" s="58">
        <f t="shared" si="30"/>
        <v>8.3536798046738747E-2</v>
      </c>
      <c r="U70" s="58">
        <f t="shared" si="30"/>
        <v>0.10411029506506893</v>
      </c>
      <c r="V70" s="58">
        <f t="shared" si="30"/>
        <v>6.1370845400634394E-2</v>
      </c>
      <c r="W70" s="58">
        <f t="shared" si="30"/>
        <v>4.8924484018485807E-2</v>
      </c>
      <c r="X70" s="58">
        <f t="shared" si="30"/>
        <v>6.9050344642813649E-2</v>
      </c>
      <c r="Y70" s="58">
        <f>Y67/Y66</f>
        <v>5.527647937314533E-2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</row>
    <row r="71" spans="1:59" ht="24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6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</row>
    <row r="72" spans="1:59" ht="24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6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</row>
    <row r="73" spans="1:59" ht="24.75" customHeight="1">
      <c r="A73" s="5"/>
      <c r="B73" s="124" t="s">
        <v>169</v>
      </c>
      <c r="C73" s="5"/>
      <c r="D73" s="5"/>
      <c r="E73" s="5"/>
      <c r="F73" s="5"/>
      <c r="G73" s="5"/>
      <c r="H73" s="5"/>
      <c r="I73" s="5"/>
      <c r="J73" s="5"/>
      <c r="K73" s="5"/>
      <c r="L73" s="6"/>
      <c r="M73" s="5"/>
      <c r="N73" s="5"/>
      <c r="O73" s="5"/>
      <c r="P73" s="5"/>
      <c r="Q73" s="5"/>
      <c r="R73" s="5"/>
      <c r="S73" s="5"/>
      <c r="T73" s="5"/>
      <c r="U73" s="5"/>
      <c r="V73" s="5"/>
      <c r="W73" s="84" t="s">
        <v>100</v>
      </c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</row>
    <row r="74" spans="1:59" ht="24.75" customHeight="1" thickBot="1">
      <c r="A74" s="5"/>
      <c r="B74" s="13" t="s">
        <v>101</v>
      </c>
      <c r="C74" s="14" t="s">
        <v>0</v>
      </c>
      <c r="D74" s="14" t="s">
        <v>1</v>
      </c>
      <c r="E74" s="14" t="s">
        <v>2</v>
      </c>
      <c r="F74" s="14" t="s">
        <v>3</v>
      </c>
      <c r="G74" s="14" t="s">
        <v>4</v>
      </c>
      <c r="H74" s="14" t="s">
        <v>5</v>
      </c>
      <c r="I74" s="14" t="s">
        <v>6</v>
      </c>
      <c r="J74" s="14" t="s">
        <v>7</v>
      </c>
      <c r="K74" s="14" t="s">
        <v>8</v>
      </c>
      <c r="L74" s="16" t="s">
        <v>9</v>
      </c>
      <c r="M74" s="14" t="s">
        <v>10</v>
      </c>
      <c r="N74" s="14" t="s">
        <v>11</v>
      </c>
      <c r="O74" s="14" t="s">
        <v>12</v>
      </c>
      <c r="P74" s="14" t="s">
        <v>13</v>
      </c>
      <c r="Q74" s="14" t="s">
        <v>14</v>
      </c>
      <c r="R74" s="14" t="s">
        <v>15</v>
      </c>
      <c r="S74" s="14" t="s">
        <v>16</v>
      </c>
      <c r="T74" s="14" t="s">
        <v>17</v>
      </c>
      <c r="U74" s="14" t="s">
        <v>18</v>
      </c>
      <c r="V74" s="14" t="s">
        <v>19</v>
      </c>
      <c r="W74" s="14" t="s">
        <v>20</v>
      </c>
      <c r="X74" s="14" t="s">
        <v>21</v>
      </c>
      <c r="Y74" s="14" t="s">
        <v>30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</row>
    <row r="75" spans="1:59" ht="24.75" customHeight="1" thickTop="1">
      <c r="A75" s="5"/>
      <c r="B75" s="85" t="s">
        <v>151</v>
      </c>
      <c r="C75" s="45">
        <v>2300</v>
      </c>
      <c r="D75" s="45">
        <v>2397</v>
      </c>
      <c r="E75" s="45">
        <v>2136</v>
      </c>
      <c r="F75" s="45">
        <v>2110</v>
      </c>
      <c r="G75" s="45">
        <v>2071</v>
      </c>
      <c r="H75" s="45">
        <v>2336</v>
      </c>
      <c r="I75" s="45">
        <f>1946</f>
        <v>1946</v>
      </c>
      <c r="J75" s="45">
        <v>2431</v>
      </c>
      <c r="K75" s="45">
        <v>2822</v>
      </c>
      <c r="L75" s="45">
        <v>2753</v>
      </c>
      <c r="M75" s="45">
        <v>2548</v>
      </c>
      <c r="N75" s="45">
        <v>3497</v>
      </c>
      <c r="O75" s="45">
        <v>4092</v>
      </c>
      <c r="P75" s="45">
        <v>3866</v>
      </c>
      <c r="Q75" s="45">
        <v>3741</v>
      </c>
      <c r="R75" s="45">
        <v>3381</v>
      </c>
      <c r="S75" s="45">
        <v>4081</v>
      </c>
      <c r="T75" s="45">
        <v>4439</v>
      </c>
      <c r="U75" s="45">
        <v>3958</v>
      </c>
      <c r="V75" s="45">
        <v>3932</v>
      </c>
      <c r="W75" s="45">
        <v>4149</v>
      </c>
      <c r="X75" s="45">
        <v>4115</v>
      </c>
      <c r="Y75" s="45">
        <v>5058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</row>
    <row r="76" spans="1:59" ht="24.75" customHeight="1">
      <c r="A76" s="5"/>
      <c r="B76" s="112" t="s">
        <v>152</v>
      </c>
      <c r="C76" s="52">
        <v>4927</v>
      </c>
      <c r="D76" s="52">
        <v>5098</v>
      </c>
      <c r="E76" s="52">
        <v>4752</v>
      </c>
      <c r="F76" s="52">
        <v>4717</v>
      </c>
      <c r="G76" s="52">
        <v>5566</v>
      </c>
      <c r="H76" s="52">
        <v>5383</v>
      </c>
      <c r="I76" s="52">
        <v>4455</v>
      </c>
      <c r="J76" s="52">
        <v>4771</v>
      </c>
      <c r="K76" s="52">
        <v>5044</v>
      </c>
      <c r="L76" s="52">
        <v>4208</v>
      </c>
      <c r="M76" s="52">
        <v>5261</v>
      </c>
      <c r="N76" s="52">
        <v>5347</v>
      </c>
      <c r="O76" s="52">
        <v>5919</v>
      </c>
      <c r="P76" s="52">
        <v>9616</v>
      </c>
      <c r="Q76" s="52">
        <v>8069</v>
      </c>
      <c r="R76" s="52">
        <v>10594</v>
      </c>
      <c r="S76" s="52">
        <v>10859</v>
      </c>
      <c r="T76" s="52">
        <v>11021</v>
      </c>
      <c r="U76" s="52">
        <v>11254</v>
      </c>
      <c r="V76" s="52">
        <v>11661</v>
      </c>
      <c r="W76" s="52">
        <v>13455</v>
      </c>
      <c r="X76" s="52">
        <v>14825</v>
      </c>
      <c r="Y76" s="52">
        <v>17724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</row>
    <row r="77" spans="1:59" ht="24.75" customHeight="1">
      <c r="A77" s="5"/>
      <c r="B77" s="101" t="s">
        <v>150</v>
      </c>
      <c r="C77" s="45">
        <v>5017</v>
      </c>
      <c r="D77" s="45">
        <v>6169</v>
      </c>
      <c r="E77" s="45">
        <v>6339</v>
      </c>
      <c r="F77" s="45">
        <v>5790</v>
      </c>
      <c r="G77" s="45">
        <v>5775</v>
      </c>
      <c r="H77" s="45">
        <v>6709</v>
      </c>
      <c r="I77" s="45">
        <v>8688</v>
      </c>
      <c r="J77" s="45">
        <v>9670</v>
      </c>
      <c r="K77" s="45">
        <v>10362</v>
      </c>
      <c r="L77" s="45">
        <v>12891</v>
      </c>
      <c r="M77" s="45">
        <v>14999</v>
      </c>
      <c r="N77" s="45">
        <v>16508</v>
      </c>
      <c r="O77" s="45">
        <v>18860</v>
      </c>
      <c r="P77" s="45">
        <v>17740</v>
      </c>
      <c r="Q77" s="45">
        <v>20148</v>
      </c>
      <c r="R77" s="45">
        <v>14225</v>
      </c>
      <c r="S77" s="45">
        <v>14794</v>
      </c>
      <c r="T77" s="45">
        <v>14593</v>
      </c>
      <c r="U77" s="45">
        <v>13948</v>
      </c>
      <c r="V77" s="45">
        <v>15364</v>
      </c>
      <c r="W77" s="45">
        <v>14731</v>
      </c>
      <c r="X77" s="45">
        <v>14194</v>
      </c>
      <c r="Y77" s="45">
        <v>15379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</row>
    <row r="78" spans="1:59" ht="24.75" customHeight="1">
      <c r="A78" s="5"/>
      <c r="B78" s="112" t="s">
        <v>153</v>
      </c>
      <c r="C78" s="52">
        <v>4422</v>
      </c>
      <c r="D78" s="52">
        <v>4879</v>
      </c>
      <c r="E78" s="52">
        <v>4085</v>
      </c>
      <c r="F78" s="52">
        <v>4143</v>
      </c>
      <c r="G78" s="52">
        <v>4100</v>
      </c>
      <c r="H78" s="52">
        <v>4307</v>
      </c>
      <c r="I78" s="52">
        <v>4620</v>
      </c>
      <c r="J78" s="52">
        <v>4094</v>
      </c>
      <c r="K78" s="52">
        <v>3907</v>
      </c>
      <c r="L78" s="52">
        <v>3755</v>
      </c>
      <c r="M78" s="52">
        <v>4031</v>
      </c>
      <c r="N78" s="52">
        <v>3647</v>
      </c>
      <c r="O78" s="52">
        <v>4272</v>
      </c>
      <c r="P78" s="52">
        <v>4972</v>
      </c>
      <c r="Q78" s="52">
        <v>5476</v>
      </c>
      <c r="R78" s="52">
        <v>5050</v>
      </c>
      <c r="S78" s="52">
        <v>5155</v>
      </c>
      <c r="T78" s="52">
        <v>5921</v>
      </c>
      <c r="U78" s="52">
        <v>6344</v>
      </c>
      <c r="V78" s="52">
        <v>6783</v>
      </c>
      <c r="W78" s="110">
        <v>47332</v>
      </c>
      <c r="X78" s="110">
        <v>48143</v>
      </c>
      <c r="Y78" s="110">
        <v>50228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</row>
    <row r="79" spans="1:59" ht="24.75" customHeight="1">
      <c r="A79" s="5"/>
      <c r="B79" s="2" t="s">
        <v>94</v>
      </c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>
        <v>3041</v>
      </c>
      <c r="T79" s="45">
        <v>3015</v>
      </c>
      <c r="U79" s="45">
        <v>2974</v>
      </c>
      <c r="V79" s="45">
        <v>2928</v>
      </c>
      <c r="W79" s="45">
        <v>2824</v>
      </c>
      <c r="X79" s="45">
        <v>2353</v>
      </c>
      <c r="Y79" s="45">
        <v>3814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</row>
    <row r="80" spans="1:59" ht="24.75" customHeight="1">
      <c r="A80" s="5"/>
      <c r="B80" s="112" t="s">
        <v>154</v>
      </c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111">
        <v>21762</v>
      </c>
      <c r="V80" s="111">
        <v>22332</v>
      </c>
      <c r="W80" s="111">
        <v>20331</v>
      </c>
      <c r="X80" s="111">
        <v>22879</v>
      </c>
      <c r="Y80" s="111">
        <v>23411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</row>
    <row r="81" spans="1:59" ht="24.75" customHeight="1">
      <c r="A81" s="5"/>
      <c r="B81" s="102" t="s">
        <v>145</v>
      </c>
      <c r="C81" s="45">
        <v>37133</v>
      </c>
      <c r="D81" s="45">
        <v>37650</v>
      </c>
      <c r="E81" s="45">
        <v>38104</v>
      </c>
      <c r="F81" s="45">
        <v>38528</v>
      </c>
      <c r="G81" s="45">
        <v>41500</v>
      </c>
      <c r="H81" s="45">
        <v>44067</v>
      </c>
      <c r="I81" s="45">
        <v>50403</v>
      </c>
      <c r="J81" s="45">
        <v>65536</v>
      </c>
      <c r="K81" s="45">
        <v>74710</v>
      </c>
      <c r="L81" s="45">
        <v>78852</v>
      </c>
      <c r="M81" s="45">
        <v>75800</v>
      </c>
      <c r="N81" s="45">
        <v>74859</v>
      </c>
      <c r="O81" s="45">
        <v>75822</v>
      </c>
      <c r="P81" s="45">
        <v>75454</v>
      </c>
      <c r="Q81" s="104">
        <v>75877</v>
      </c>
      <c r="R81" s="104">
        <v>58922</v>
      </c>
      <c r="S81" s="45">
        <v>59108</v>
      </c>
      <c r="T81" s="45">
        <v>57633</v>
      </c>
      <c r="U81" s="45">
        <v>54910</v>
      </c>
      <c r="V81" s="45">
        <v>56511</v>
      </c>
      <c r="W81" s="45">
        <v>56270</v>
      </c>
      <c r="X81" s="45">
        <v>55583</v>
      </c>
      <c r="Y81" s="45">
        <v>55347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</row>
    <row r="82" spans="1:59" ht="24.75" customHeight="1">
      <c r="A82" s="5"/>
      <c r="R82" s="109" t="s">
        <v>149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</row>
    <row r="83" spans="1:59" ht="24.75" customHeight="1">
      <c r="A83" s="5"/>
      <c r="B83" s="124" t="s">
        <v>170</v>
      </c>
      <c r="W83" s="84" t="s">
        <v>100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20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</row>
    <row r="84" spans="1:59" ht="24.75" customHeight="1" thickBot="1">
      <c r="A84" s="5"/>
      <c r="B84" s="13" t="s">
        <v>102</v>
      </c>
      <c r="C84" s="14" t="s">
        <v>0</v>
      </c>
      <c r="D84" s="14" t="s">
        <v>1</v>
      </c>
      <c r="E84" s="14" t="s">
        <v>2</v>
      </c>
      <c r="F84" s="14" t="s">
        <v>3</v>
      </c>
      <c r="G84" s="14" t="s">
        <v>4</v>
      </c>
      <c r="H84" s="14" t="s">
        <v>5</v>
      </c>
      <c r="I84" s="14" t="s">
        <v>6</v>
      </c>
      <c r="J84" s="14" t="s">
        <v>7</v>
      </c>
      <c r="K84" s="14" t="s">
        <v>8</v>
      </c>
      <c r="L84" s="16" t="s">
        <v>9</v>
      </c>
      <c r="M84" s="14" t="s">
        <v>10</v>
      </c>
      <c r="N84" s="14" t="s">
        <v>11</v>
      </c>
      <c r="O84" s="14" t="s">
        <v>12</v>
      </c>
      <c r="P84" s="14" t="s">
        <v>13</v>
      </c>
      <c r="Q84" s="14" t="s">
        <v>14</v>
      </c>
      <c r="R84" s="14" t="s">
        <v>15</v>
      </c>
      <c r="S84" s="14" t="s">
        <v>16</v>
      </c>
      <c r="T84" s="14" t="s">
        <v>17</v>
      </c>
      <c r="U84" s="14" t="s">
        <v>18</v>
      </c>
      <c r="V84" s="14" t="s">
        <v>19</v>
      </c>
      <c r="W84" s="14" t="s">
        <v>20</v>
      </c>
      <c r="X84" s="14" t="s">
        <v>21</v>
      </c>
      <c r="Y84" s="14" t="s">
        <v>30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</row>
    <row r="85" spans="1:59" ht="24.75" customHeight="1" thickTop="1">
      <c r="A85" s="5"/>
      <c r="B85" s="86" t="s">
        <v>32</v>
      </c>
      <c r="C85" s="3">
        <v>764</v>
      </c>
      <c r="D85" s="3">
        <f>1513-C85</f>
        <v>749</v>
      </c>
      <c r="E85" s="3">
        <f>2301-D85-C85</f>
        <v>788</v>
      </c>
      <c r="F85" s="3">
        <f>2911-E85-D85-C85</f>
        <v>610</v>
      </c>
      <c r="G85" s="3">
        <v>718</v>
      </c>
      <c r="H85" s="3">
        <f>1334-G85</f>
        <v>616</v>
      </c>
      <c r="I85" s="45">
        <f>2055-H85-G85</f>
        <v>721</v>
      </c>
      <c r="J85" s="3">
        <f>2660-I85-H85-G85</f>
        <v>605</v>
      </c>
      <c r="K85" s="3">
        <v>761</v>
      </c>
      <c r="L85" s="3">
        <f>1409-K85</f>
        <v>648</v>
      </c>
      <c r="M85" s="3">
        <f>2007-L85-K85</f>
        <v>598</v>
      </c>
      <c r="N85" s="3">
        <v>2825</v>
      </c>
      <c r="O85" s="3">
        <v>784</v>
      </c>
      <c r="P85" s="3">
        <f>1444-O85</f>
        <v>660</v>
      </c>
      <c r="Q85" s="3">
        <f>2239-P85-O85</f>
        <v>795</v>
      </c>
      <c r="R85" s="3">
        <f>2993-Q85-P85-O85</f>
        <v>754</v>
      </c>
      <c r="S85" s="3">
        <v>1198</v>
      </c>
      <c r="T85" s="3">
        <f>2197-S85</f>
        <v>999</v>
      </c>
      <c r="U85" s="3">
        <f>3155-T85-S85</f>
        <v>958</v>
      </c>
      <c r="V85" s="3">
        <f>4087-U85-T85-S85</f>
        <v>932</v>
      </c>
      <c r="W85" s="3">
        <v>834</v>
      </c>
      <c r="X85" s="3">
        <f>1655-W85</f>
        <v>821</v>
      </c>
      <c r="Y85" s="3">
        <f>2690-X85-W85</f>
        <v>1035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</row>
    <row r="86" spans="1:59" ht="24.75" customHeight="1">
      <c r="A86" s="5"/>
      <c r="B86" s="115" t="s">
        <v>155</v>
      </c>
      <c r="C86" s="113">
        <v>2011</v>
      </c>
      <c r="D86" s="113">
        <f>4182-C86</f>
        <v>2171</v>
      </c>
      <c r="E86" s="113">
        <f>6186-D86-C86</f>
        <v>2004</v>
      </c>
      <c r="F86" s="113">
        <f>7315-E86-D86-C86</f>
        <v>1129</v>
      </c>
      <c r="G86" s="113">
        <v>3342</v>
      </c>
      <c r="H86" s="113">
        <f>5148-G86</f>
        <v>1806</v>
      </c>
      <c r="I86" s="52">
        <f>6490-H86-G86</f>
        <v>1342</v>
      </c>
      <c r="J86" s="113">
        <f>8293-I86-H86-G86</f>
        <v>1803</v>
      </c>
      <c r="K86" s="113">
        <v>2242</v>
      </c>
      <c r="L86" s="113">
        <f>3487-K86</f>
        <v>1245</v>
      </c>
      <c r="M86" s="113">
        <f>5364-L86-K86</f>
        <v>1877</v>
      </c>
      <c r="N86" s="113">
        <v>7272</v>
      </c>
      <c r="O86" s="113">
        <v>2935</v>
      </c>
      <c r="P86" s="113">
        <f>5157-O86</f>
        <v>2222</v>
      </c>
      <c r="Q86" s="113">
        <f>9806-P86-O86</f>
        <v>4649</v>
      </c>
      <c r="R86" s="113">
        <f>16571-Q86-P86-O86</f>
        <v>6765</v>
      </c>
      <c r="S86" s="113">
        <v>8518</v>
      </c>
      <c r="T86" s="113">
        <f>18287-S86</f>
        <v>9769</v>
      </c>
      <c r="U86" s="113">
        <f>24897-T86-S86</f>
        <v>6610</v>
      </c>
      <c r="V86" s="113">
        <f>32860-U86-T86-S86</f>
        <v>7963</v>
      </c>
      <c r="W86" s="113">
        <v>8157</v>
      </c>
      <c r="X86" s="113">
        <v>17432</v>
      </c>
      <c r="Y86" s="113">
        <v>29607</v>
      </c>
      <c r="Z86" s="5"/>
      <c r="AA86" s="5"/>
      <c r="AB86" s="98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</row>
    <row r="87" spans="1:59" ht="24.75" customHeight="1">
      <c r="A87" s="5"/>
      <c r="B87" s="87" t="s">
        <v>93</v>
      </c>
      <c r="C87" s="3">
        <v>1808</v>
      </c>
      <c r="D87" s="3">
        <f>3858-C87</f>
        <v>2050</v>
      </c>
      <c r="E87" s="3">
        <f>6656-D87-C87</f>
        <v>2798</v>
      </c>
      <c r="F87" s="3">
        <f>9770-E87-D87-C87</f>
        <v>3114</v>
      </c>
      <c r="G87" s="3">
        <v>3695</v>
      </c>
      <c r="H87" s="3">
        <f>7163-G87</f>
        <v>3468</v>
      </c>
      <c r="I87" s="45">
        <f>10670-H87-G87</f>
        <v>3507</v>
      </c>
      <c r="J87" s="3">
        <f>14176-I87-H87-G87</f>
        <v>3506</v>
      </c>
      <c r="K87" s="3">
        <v>3563</v>
      </c>
      <c r="L87" s="3">
        <f>5358-K87</f>
        <v>1795</v>
      </c>
      <c r="M87" s="3">
        <f>6816-L87-K87</f>
        <v>1458</v>
      </c>
      <c r="N87" s="3">
        <v>8352</v>
      </c>
      <c r="O87" s="3">
        <v>2606</v>
      </c>
      <c r="P87" s="3">
        <f>4043-O87</f>
        <v>1437</v>
      </c>
      <c r="Q87" s="3">
        <f>7259-P87-O87</f>
        <v>3216</v>
      </c>
      <c r="R87" s="3">
        <f>9253-Q87-P87-O87</f>
        <v>1994</v>
      </c>
      <c r="S87" s="3">
        <v>3870</v>
      </c>
      <c r="T87" s="3">
        <f>6924-S87</f>
        <v>3054</v>
      </c>
      <c r="U87" s="3">
        <f>9976-T87-S87</f>
        <v>3052</v>
      </c>
      <c r="V87" s="3">
        <f>12892-U87-T87-S87</f>
        <v>2916</v>
      </c>
      <c r="W87" s="3">
        <v>2673</v>
      </c>
      <c r="X87" s="3">
        <v>6214</v>
      </c>
      <c r="Y87" s="3">
        <v>9573</v>
      </c>
      <c r="Z87" s="5"/>
      <c r="AA87" s="5"/>
      <c r="AB87" s="98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</row>
    <row r="88" spans="1:59" ht="24.75" customHeight="1">
      <c r="A88" s="5"/>
      <c r="B88" s="115" t="s">
        <v>156</v>
      </c>
      <c r="C88" s="113">
        <v>1868</v>
      </c>
      <c r="D88" s="113">
        <f>4548-C88</f>
        <v>2680</v>
      </c>
      <c r="E88" s="113">
        <f>5663-D88-C88</f>
        <v>1115</v>
      </c>
      <c r="F88" s="113">
        <f>6923-E88-D88-C88</f>
        <v>1260</v>
      </c>
      <c r="G88" s="113">
        <v>1561</v>
      </c>
      <c r="H88" s="113">
        <f>3433-G88</f>
        <v>1872</v>
      </c>
      <c r="I88" s="52">
        <f>5100-H88-G88</f>
        <v>1667</v>
      </c>
      <c r="J88" s="113">
        <f>6248-I88-H88-G88</f>
        <v>1148</v>
      </c>
      <c r="K88" s="113">
        <v>780</v>
      </c>
      <c r="L88" s="113">
        <f>2249-K88</f>
        <v>1469</v>
      </c>
      <c r="M88" s="113">
        <f>4427-L88-K88</f>
        <v>2178</v>
      </c>
      <c r="N88" s="113">
        <v>5392</v>
      </c>
      <c r="O88" s="113">
        <v>2054</v>
      </c>
      <c r="P88" s="113">
        <f>4585-O88</f>
        <v>2531</v>
      </c>
      <c r="Q88" s="113">
        <f>6384-P88-O88</f>
        <v>1799</v>
      </c>
      <c r="R88" s="113">
        <f>7080-Q88-P88-O88</f>
        <v>696</v>
      </c>
      <c r="S88" s="113">
        <v>1679</v>
      </c>
      <c r="T88" s="113">
        <f>3759-S88</f>
        <v>2080</v>
      </c>
      <c r="U88" s="113">
        <f>6467-T88-S88</f>
        <v>2708</v>
      </c>
      <c r="V88" s="113">
        <f>8437-U88-T88-S88</f>
        <v>1970</v>
      </c>
      <c r="W88" s="88">
        <v>10571</v>
      </c>
      <c r="X88" s="88">
        <v>20169</v>
      </c>
      <c r="Y88" s="88">
        <v>31665</v>
      </c>
      <c r="Z88" s="5"/>
      <c r="AA88" s="5"/>
      <c r="AB88" s="98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</row>
    <row r="89" spans="1:59" ht="24.75" customHeight="1">
      <c r="A89" s="5"/>
      <c r="B89" s="116" t="s">
        <v>157</v>
      </c>
      <c r="C89" s="114"/>
      <c r="D89" s="114"/>
      <c r="E89" s="114"/>
      <c r="F89" s="114"/>
      <c r="G89" s="114"/>
      <c r="H89" s="114"/>
      <c r="I89" s="114"/>
      <c r="J89" s="114"/>
      <c r="K89" s="114"/>
      <c r="L89" s="114"/>
      <c r="M89" s="114"/>
      <c r="N89" s="114"/>
      <c r="O89" s="114"/>
      <c r="P89" s="114"/>
      <c r="Q89" s="114"/>
      <c r="R89" s="114"/>
      <c r="S89" s="114"/>
      <c r="T89" s="114"/>
      <c r="U89" s="114">
        <f>1067-T89-S89</f>
        <v>1067</v>
      </c>
      <c r="V89" s="114">
        <f>8529-U89-T89-S89</f>
        <v>7462</v>
      </c>
      <c r="W89" s="114">
        <v>9268</v>
      </c>
      <c r="X89" s="114">
        <v>22348</v>
      </c>
      <c r="Y89" s="114">
        <v>34904</v>
      </c>
      <c r="Z89" s="5"/>
      <c r="AA89" s="5"/>
      <c r="AB89" s="98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</row>
    <row r="90" spans="1:59" ht="24.75" customHeight="1">
      <c r="A90" s="5"/>
      <c r="B90" s="107" t="s">
        <v>144</v>
      </c>
      <c r="C90" s="106">
        <f>C86/C6</f>
        <v>4.830883059479197E-2</v>
      </c>
      <c r="D90" s="106">
        <f t="shared" ref="D90:Y90" si="31">D86/D6</f>
        <v>3.2264296754250389E-2</v>
      </c>
      <c r="E90" s="106">
        <f t="shared" si="31"/>
        <v>4.1888756505925877E-2</v>
      </c>
      <c r="F90" s="106">
        <f t="shared" si="31"/>
        <v>2.5666090752023279E-2</v>
      </c>
      <c r="G90" s="106">
        <f t="shared" si="31"/>
        <v>6.4579710144927541E-2</v>
      </c>
      <c r="H90" s="106">
        <f t="shared" si="31"/>
        <v>3.4096057997281375E-2</v>
      </c>
      <c r="I90" s="106">
        <f t="shared" si="31"/>
        <v>4.5294991224517349E-2</v>
      </c>
      <c r="J90" s="106">
        <f t="shared" si="31"/>
        <v>5.156142759094029E-2</v>
      </c>
      <c r="K90" s="106">
        <f t="shared" si="31"/>
        <v>6.2014217354023182E-2</v>
      </c>
      <c r="L90" s="106">
        <f t="shared" si="31"/>
        <v>3.9468678671062643E-2</v>
      </c>
      <c r="M90" s="106">
        <f t="shared" si="31"/>
        <v>5.3003134442154008E-2</v>
      </c>
      <c r="N90" s="106">
        <f t="shared" si="31"/>
        <v>0.15428025883101729</v>
      </c>
      <c r="O90" s="106">
        <f t="shared" si="31"/>
        <v>5.3507620506089114E-2</v>
      </c>
      <c r="P90" s="106">
        <f t="shared" si="31"/>
        <v>5.3304545999760103E-2</v>
      </c>
      <c r="Q90" s="106">
        <f t="shared" si="31"/>
        <v>0.10810622267696028</v>
      </c>
      <c r="R90" s="106">
        <f t="shared" si="31"/>
        <v>0.21342040507287527</v>
      </c>
      <c r="S90" s="106">
        <f t="shared" si="31"/>
        <v>0.11715999119718309</v>
      </c>
      <c r="T90" s="106">
        <f t="shared" si="31"/>
        <v>0.12543173734961416</v>
      </c>
      <c r="U90" s="106">
        <f t="shared" si="31"/>
        <v>0.12881223813699699</v>
      </c>
      <c r="V90" s="106">
        <f t="shared" si="31"/>
        <v>0.13802128470898187</v>
      </c>
      <c r="W90" s="106">
        <f t="shared" si="31"/>
        <v>0.10868898985995816</v>
      </c>
      <c r="X90" s="106">
        <f t="shared" si="31"/>
        <v>0.20702842009002267</v>
      </c>
      <c r="Y90" s="106">
        <f t="shared" si="31"/>
        <v>0.28560541750270102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</row>
    <row r="91" spans="1:59" ht="24.75" customHeight="1">
      <c r="A91" s="5"/>
      <c r="B91" s="117" t="s">
        <v>146</v>
      </c>
      <c r="C91" s="52">
        <v>40200</v>
      </c>
      <c r="D91" s="52">
        <v>66153</v>
      </c>
      <c r="E91" s="52">
        <v>45408</v>
      </c>
      <c r="F91" s="52">
        <f>193098-E91-D91-C91</f>
        <v>41337</v>
      </c>
      <c r="G91" s="52">
        <v>48664</v>
      </c>
      <c r="H91" s="52">
        <v>50735</v>
      </c>
      <c r="I91" s="52">
        <v>28288</v>
      </c>
      <c r="J91" s="52">
        <f>159675-I91-H91-G91</f>
        <v>31988</v>
      </c>
      <c r="K91" s="52">
        <v>35844</v>
      </c>
      <c r="L91" s="52">
        <v>32587</v>
      </c>
      <c r="M91" s="52">
        <v>36419</v>
      </c>
      <c r="N91" s="52">
        <f>147403-M91-L91-K91</f>
        <v>42553</v>
      </c>
      <c r="O91" s="52">
        <v>52859</v>
      </c>
      <c r="P91" s="52">
        <v>41473</v>
      </c>
      <c r="Q91" s="52">
        <v>42822</v>
      </c>
      <c r="R91" s="52">
        <f>164960-Q91-P91-O91</f>
        <v>27806</v>
      </c>
      <c r="S91" s="52">
        <v>69338</v>
      </c>
      <c r="T91" s="52">
        <v>76722</v>
      </c>
      <c r="U91" s="52">
        <v>50593</v>
      </c>
      <c r="V91" s="52">
        <f>246168-U91-T91-S91</f>
        <v>49515</v>
      </c>
      <c r="W91" s="52">
        <v>56852</v>
      </c>
      <c r="X91" s="52">
        <v>64431</v>
      </c>
      <c r="Y91" s="52">
        <v>81569</v>
      </c>
      <c r="Z91" s="5"/>
      <c r="AA91" s="5"/>
      <c r="AB91" s="98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</row>
    <row r="92" spans="1:59" ht="24.75" customHeight="1">
      <c r="A92" s="5"/>
      <c r="B92" s="108" t="s">
        <v>147</v>
      </c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106">
        <f t="shared" ref="U92:X92" si="32">U89/U6</f>
        <v>2.0793140407288316E-2</v>
      </c>
      <c r="V92" s="106">
        <f t="shared" si="32"/>
        <v>0.12933753943217666</v>
      </c>
      <c r="W92" s="106">
        <f t="shared" si="32"/>
        <v>0.12349265146770777</v>
      </c>
      <c r="X92" s="106">
        <f t="shared" si="32"/>
        <v>0.26541252479186705</v>
      </c>
      <c r="Y92" s="106">
        <f>Y89/Y6</f>
        <v>0.33670319493749035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</row>
    <row r="93" spans="1:59" ht="24.75" customHeight="1">
      <c r="A93" s="5"/>
      <c r="B93" s="105" t="s">
        <v>148</v>
      </c>
      <c r="C93" s="106">
        <f t="shared" ref="C93:Y93" si="33">C91/C6</f>
        <v>0.96569616604208708</v>
      </c>
      <c r="D93" s="106">
        <f t="shared" si="33"/>
        <v>0.98313220782308886</v>
      </c>
      <c r="E93" s="106">
        <f t="shared" si="33"/>
        <v>0.94914403963127858</v>
      </c>
      <c r="F93" s="106">
        <f t="shared" si="33"/>
        <v>0.9397335636991907</v>
      </c>
      <c r="G93" s="106">
        <f t="shared" si="33"/>
        <v>0.94036714975845415</v>
      </c>
      <c r="H93" s="106">
        <f t="shared" si="33"/>
        <v>0.95784247092584207</v>
      </c>
      <c r="I93" s="106">
        <f t="shared" si="33"/>
        <v>0.95477251248818684</v>
      </c>
      <c r="J93" s="106">
        <f t="shared" si="33"/>
        <v>0.91477922672157397</v>
      </c>
      <c r="K93" s="106">
        <f t="shared" si="33"/>
        <v>0.99145299145299148</v>
      </c>
      <c r="L93" s="106">
        <f t="shared" si="33"/>
        <v>1.0330649251838702</v>
      </c>
      <c r="M93" s="106">
        <f t="shared" si="33"/>
        <v>1.0284076469093271</v>
      </c>
      <c r="N93" s="106">
        <f t="shared" si="33"/>
        <v>0.90278985891587993</v>
      </c>
      <c r="O93" s="106">
        <f t="shared" si="33"/>
        <v>0.96366586450813096</v>
      </c>
      <c r="P93" s="106">
        <f t="shared" si="33"/>
        <v>0.99491423773539645</v>
      </c>
      <c r="Q93" s="106">
        <f t="shared" si="33"/>
        <v>0.99576783555018133</v>
      </c>
      <c r="R93" s="106">
        <f t="shared" si="33"/>
        <v>0.87721622815319578</v>
      </c>
      <c r="S93" s="106">
        <f t="shared" si="33"/>
        <v>0.95370268485915488</v>
      </c>
      <c r="T93" s="106">
        <f t="shared" si="33"/>
        <v>0.98509302415161204</v>
      </c>
      <c r="U93" s="106">
        <f t="shared" si="33"/>
        <v>0.98593003994933259</v>
      </c>
      <c r="V93" s="106">
        <f t="shared" si="33"/>
        <v>0.85823482511179672</v>
      </c>
      <c r="W93" s="106">
        <f t="shared" si="33"/>
        <v>0.75753174592599504</v>
      </c>
      <c r="X93" s="106">
        <f t="shared" si="33"/>
        <v>0.76520468878041825</v>
      </c>
      <c r="Y93" s="106">
        <f t="shared" si="33"/>
        <v>0.78685946905386639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</row>
    <row r="94" spans="1:59" ht="24.75" customHeight="1">
      <c r="A94" s="5"/>
      <c r="B94" s="103"/>
      <c r="C94" s="98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  <c r="Q94" s="98"/>
      <c r="R94" s="98"/>
      <c r="S94" s="98"/>
      <c r="T94" s="98"/>
      <c r="U94" s="98"/>
      <c r="V94" s="98"/>
      <c r="W94" s="98"/>
      <c r="X94" s="98"/>
      <c r="Y94" s="98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</row>
    <row r="95" spans="1:59" ht="24.75" customHeight="1">
      <c r="A95" s="5"/>
      <c r="B95" s="124" t="s">
        <v>171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</row>
    <row r="96" spans="1:59" ht="24.75" customHeight="1" thickBot="1">
      <c r="A96" s="5"/>
      <c r="B96" s="13" t="s">
        <v>103</v>
      </c>
      <c r="C96" s="14" t="s">
        <v>0</v>
      </c>
      <c r="D96" s="14" t="s">
        <v>1</v>
      </c>
      <c r="E96" s="14" t="s">
        <v>2</v>
      </c>
      <c r="F96" s="14" t="s">
        <v>3</v>
      </c>
      <c r="G96" s="14" t="s">
        <v>4</v>
      </c>
      <c r="H96" s="14" t="s">
        <v>5</v>
      </c>
      <c r="I96" s="14" t="s">
        <v>6</v>
      </c>
      <c r="J96" s="14" t="s">
        <v>7</v>
      </c>
      <c r="K96" s="14" t="s">
        <v>8</v>
      </c>
      <c r="L96" s="16" t="s">
        <v>9</v>
      </c>
      <c r="M96" s="14" t="s">
        <v>10</v>
      </c>
      <c r="N96" s="14" t="s">
        <v>11</v>
      </c>
      <c r="O96" s="14" t="s">
        <v>12</v>
      </c>
      <c r="P96" s="14" t="s">
        <v>13</v>
      </c>
      <c r="Q96" s="14" t="s">
        <v>14</v>
      </c>
      <c r="R96" s="14" t="s">
        <v>15</v>
      </c>
      <c r="S96" s="14" t="s">
        <v>16</v>
      </c>
      <c r="T96" s="14" t="s">
        <v>17</v>
      </c>
      <c r="U96" s="14" t="s">
        <v>18</v>
      </c>
      <c r="V96" s="14" t="s">
        <v>19</v>
      </c>
      <c r="W96" s="14" t="s">
        <v>20</v>
      </c>
      <c r="X96" s="14" t="s">
        <v>21</v>
      </c>
      <c r="Y96" s="14" t="s">
        <v>30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</row>
    <row r="97" spans="1:59" ht="24.75" customHeight="1" thickTop="1">
      <c r="A97" s="5"/>
      <c r="B97" s="86" t="s">
        <v>32</v>
      </c>
      <c r="C97" s="3">
        <v>214</v>
      </c>
      <c r="D97" s="3">
        <f>92-C97</f>
        <v>-122</v>
      </c>
      <c r="E97" s="3">
        <f>273-D97-C97</f>
        <v>181</v>
      </c>
      <c r="F97" s="3">
        <f>271-E97-D97-C97</f>
        <v>-2</v>
      </c>
      <c r="G97" s="3">
        <v>174</v>
      </c>
      <c r="H97" s="3">
        <f>220-G97</f>
        <v>46</v>
      </c>
      <c r="I97" s="3">
        <f>344-H97-G97</f>
        <v>124</v>
      </c>
      <c r="J97" s="3">
        <f>320-I97-H97-G97</f>
        <v>-24</v>
      </c>
      <c r="K97" s="3">
        <v>146</v>
      </c>
      <c r="L97" s="3">
        <f>125-K97</f>
        <v>-21</v>
      </c>
      <c r="M97" s="3">
        <f>105-L97-K97</f>
        <v>-20</v>
      </c>
      <c r="N97" s="3">
        <v>295</v>
      </c>
      <c r="O97" s="3">
        <v>325</v>
      </c>
      <c r="P97" s="3">
        <f>301-O97</f>
        <v>-24</v>
      </c>
      <c r="Q97" s="3">
        <f>329-P97-O97</f>
        <v>28</v>
      </c>
      <c r="R97" s="3">
        <f>274-Q97-P97-O97</f>
        <v>-55</v>
      </c>
      <c r="S97" s="3">
        <v>358</v>
      </c>
      <c r="T97" s="3">
        <f>609-S97</f>
        <v>251</v>
      </c>
      <c r="U97" s="3">
        <f>940-T97-S97</f>
        <v>331</v>
      </c>
      <c r="V97" s="3">
        <f>857-U97-T97-S97</f>
        <v>-83</v>
      </c>
      <c r="W97" s="3">
        <v>34</v>
      </c>
      <c r="X97" s="3">
        <f>-136-W97</f>
        <v>-170</v>
      </c>
      <c r="Y97" s="3">
        <f>-97-X97-W97</f>
        <v>39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</row>
    <row r="98" spans="1:59" ht="24.75" customHeight="1">
      <c r="A98" s="5"/>
      <c r="B98" s="115" t="s">
        <v>158</v>
      </c>
      <c r="C98" s="3">
        <v>57</v>
      </c>
      <c r="D98" s="3">
        <f>401-C98</f>
        <v>344</v>
      </c>
      <c r="E98" s="3">
        <f>400-D98-C98</f>
        <v>-1</v>
      </c>
      <c r="F98" s="3">
        <f>574-E98-D98-C98</f>
        <v>174</v>
      </c>
      <c r="G98" s="3">
        <v>110</v>
      </c>
      <c r="H98" s="3">
        <f>301-G98</f>
        <v>191</v>
      </c>
      <c r="I98" s="3">
        <f>273-H98-G98</f>
        <v>-28</v>
      </c>
      <c r="J98" s="3">
        <f>566-I98-H98-G98</f>
        <v>293</v>
      </c>
      <c r="K98" s="3">
        <v>71</v>
      </c>
      <c r="L98" s="3">
        <f>-151-K98</f>
        <v>-222</v>
      </c>
      <c r="M98" s="3">
        <f>-86-L98-K98</f>
        <v>65</v>
      </c>
      <c r="N98" s="3">
        <v>32</v>
      </c>
      <c r="O98" s="3">
        <v>329</v>
      </c>
      <c r="P98" s="3">
        <f>531-O98</f>
        <v>202</v>
      </c>
      <c r="Q98" s="3">
        <f>378-P98-O98</f>
        <v>-153</v>
      </c>
      <c r="R98" s="3">
        <f>658-Q98-P98-O98</f>
        <v>280</v>
      </c>
      <c r="S98" s="3">
        <v>710</v>
      </c>
      <c r="T98" s="3">
        <f>1913-S98</f>
        <v>1203</v>
      </c>
      <c r="U98" s="3">
        <f>3037-T98-S98</f>
        <v>1124</v>
      </c>
      <c r="V98" s="3">
        <f>2916-U98-T98-S98</f>
        <v>-121</v>
      </c>
      <c r="W98" s="3">
        <v>618</v>
      </c>
      <c r="X98" s="3">
        <f>2028-W98</f>
        <v>1410</v>
      </c>
      <c r="Y98" s="3">
        <f>3366-X98-W98</f>
        <v>1338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</row>
    <row r="99" spans="1:59" ht="24.75" customHeight="1">
      <c r="A99" s="5"/>
      <c r="B99" s="87" t="s">
        <v>93</v>
      </c>
      <c r="C99" s="3">
        <v>243</v>
      </c>
      <c r="D99" s="3">
        <f>935-C99</f>
        <v>692</v>
      </c>
      <c r="E99" s="3">
        <f>1904-D99-C99</f>
        <v>969</v>
      </c>
      <c r="F99" s="3">
        <f>3310-E99-D99-C99</f>
        <v>1406</v>
      </c>
      <c r="G99" s="3">
        <v>1642</v>
      </c>
      <c r="H99" s="3">
        <f>2367-G99</f>
        <v>725</v>
      </c>
      <c r="I99" s="3">
        <f>3253-H99-G99</f>
        <v>886</v>
      </c>
      <c r="J99" s="3">
        <f>4004-I99-H99-G99</f>
        <v>751</v>
      </c>
      <c r="K99" s="3">
        <v>175</v>
      </c>
      <c r="L99" s="3">
        <f>-1-K99</f>
        <v>-176</v>
      </c>
      <c r="M99" s="3">
        <f>-1026-L99-K99</f>
        <v>-1025</v>
      </c>
      <c r="N99" s="3">
        <v>-1367</v>
      </c>
      <c r="O99" s="3">
        <v>-353</v>
      </c>
      <c r="P99" s="3">
        <f>-1135-O99</f>
        <v>-782</v>
      </c>
      <c r="Q99" s="3">
        <f>-1274-P99-O99</f>
        <v>-139</v>
      </c>
      <c r="R99" s="3">
        <f>-927-Q99-P99-O99</f>
        <v>347</v>
      </c>
      <c r="S99" s="3">
        <v>360</v>
      </c>
      <c r="T99" s="3">
        <f>354-S99</f>
        <v>-6</v>
      </c>
      <c r="U99" s="3">
        <f>-1907-T99-S99</f>
        <v>-2261</v>
      </c>
      <c r="V99" s="3">
        <f>765-U99-T99-S99</f>
        <v>2672</v>
      </c>
      <c r="W99" s="3">
        <v>125</v>
      </c>
      <c r="X99" s="3">
        <f>-113-W99</f>
        <v>-238</v>
      </c>
      <c r="Y99" s="3">
        <f>1484-X99-W99</f>
        <v>1597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</row>
    <row r="100" spans="1:59" ht="24.75" customHeight="1">
      <c r="A100" s="5"/>
      <c r="B100" s="115" t="s">
        <v>156</v>
      </c>
      <c r="C100" s="3">
        <v>165</v>
      </c>
      <c r="D100" s="3">
        <f>494-C100</f>
        <v>329</v>
      </c>
      <c r="E100" s="3">
        <f>96-D100-C100</f>
        <v>-398</v>
      </c>
      <c r="F100" s="3">
        <f>148-E100-D100-C100</f>
        <v>52</v>
      </c>
      <c r="G100" s="3">
        <v>-193</v>
      </c>
      <c r="H100" s="3">
        <f>135-G100</f>
        <v>328</v>
      </c>
      <c r="I100" s="3">
        <f>341-H100-G100</f>
        <v>206</v>
      </c>
      <c r="J100" s="3">
        <f>188--I100-H100-G100</f>
        <v>259</v>
      </c>
      <c r="K100" s="3">
        <v>-299</v>
      </c>
      <c r="L100" s="3">
        <f>-368-K100</f>
        <v>-69</v>
      </c>
      <c r="M100" s="3">
        <f>-40-L100-K100</f>
        <v>328</v>
      </c>
      <c r="N100" s="3">
        <v>35</v>
      </c>
      <c r="O100" s="3">
        <v>449</v>
      </c>
      <c r="P100" s="3">
        <f>990-O100</f>
        <v>541</v>
      </c>
      <c r="Q100" s="3">
        <f>1416-P100-O100</f>
        <v>426</v>
      </c>
      <c r="R100" s="3">
        <f>1288-Q100-P100-O100</f>
        <v>-128</v>
      </c>
      <c r="S100" s="3">
        <v>277</v>
      </c>
      <c r="T100" s="3">
        <f>806-S100</f>
        <v>529</v>
      </c>
      <c r="U100" s="3">
        <f>1430-T100-S100</f>
        <v>624</v>
      </c>
      <c r="V100" s="3">
        <f>1255-U100-T100-S100</f>
        <v>-175</v>
      </c>
      <c r="W100" s="3">
        <v>-96</v>
      </c>
      <c r="X100" s="3">
        <f>580-W100</f>
        <v>676</v>
      </c>
      <c r="Y100" s="3">
        <f>1583-X100-W100</f>
        <v>1003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</row>
    <row r="101" spans="1:59" ht="24.75" customHeight="1">
      <c r="A101" s="5"/>
      <c r="B101" s="87" t="s">
        <v>94</v>
      </c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>
        <v>36</v>
      </c>
      <c r="T101" s="3">
        <f>-24-S101</f>
        <v>-60</v>
      </c>
      <c r="U101" s="3">
        <f>-142-T101-S101</f>
        <v>-118</v>
      </c>
      <c r="V101" s="3">
        <f>-127-U101-T101-S101</f>
        <v>15</v>
      </c>
      <c r="W101" s="3">
        <v>-85</v>
      </c>
      <c r="X101" s="3">
        <f>-558-W101</f>
        <v>-473</v>
      </c>
      <c r="Y101" s="3">
        <f>-629-X101-W101</f>
        <v>-71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</row>
    <row r="102" spans="1:59" ht="24.75" customHeight="1">
      <c r="A102" s="5"/>
      <c r="B102" s="115" t="s">
        <v>157</v>
      </c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>
        <f>-35-T102-S102</f>
        <v>-35</v>
      </c>
      <c r="V102" s="3">
        <f>-2187-U102-T102-S102</f>
        <v>-2152</v>
      </c>
      <c r="W102" s="3">
        <v>-573</v>
      </c>
      <c r="X102" s="3">
        <f>959-W102</f>
        <v>1532</v>
      </c>
      <c r="Y102" s="3">
        <f>1141-X102-W102</f>
        <v>182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</row>
    <row r="103" spans="1:59" ht="24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6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</row>
    <row r="104" spans="1:59" ht="24.75" customHeight="1">
      <c r="A104" s="5"/>
      <c r="B104" s="124" t="s">
        <v>172</v>
      </c>
      <c r="C104" s="5"/>
      <c r="D104" s="5"/>
      <c r="E104" s="5"/>
      <c r="F104" s="5"/>
      <c r="G104" s="5"/>
      <c r="H104" s="5"/>
      <c r="I104" s="5"/>
      <c r="J104" s="5"/>
      <c r="K104" s="5"/>
      <c r="L104" s="6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99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</row>
    <row r="105" spans="1:59" ht="24.75" customHeight="1" thickBot="1">
      <c r="A105" s="5"/>
      <c r="B105" s="13" t="s">
        <v>104</v>
      </c>
      <c r="C105" s="14" t="s">
        <v>0</v>
      </c>
      <c r="D105" s="14" t="s">
        <v>1</v>
      </c>
      <c r="E105" s="14" t="s">
        <v>2</v>
      </c>
      <c r="F105" s="14" t="s">
        <v>3</v>
      </c>
      <c r="G105" s="14" t="s">
        <v>4</v>
      </c>
      <c r="H105" s="14" t="s">
        <v>5</v>
      </c>
      <c r="I105" s="14" t="s">
        <v>6</v>
      </c>
      <c r="J105" s="14" t="s">
        <v>7</v>
      </c>
      <c r="K105" s="14" t="s">
        <v>8</v>
      </c>
      <c r="L105" s="16" t="s">
        <v>9</v>
      </c>
      <c r="M105" s="14" t="s">
        <v>10</v>
      </c>
      <c r="N105" s="14" t="s">
        <v>11</v>
      </c>
      <c r="O105" s="14" t="s">
        <v>12</v>
      </c>
      <c r="P105" s="14" t="s">
        <v>13</v>
      </c>
      <c r="Q105" s="14" t="s">
        <v>14</v>
      </c>
      <c r="R105" s="14" t="s">
        <v>15</v>
      </c>
      <c r="S105" s="14" t="s">
        <v>16</v>
      </c>
      <c r="T105" s="14" t="s">
        <v>17</v>
      </c>
      <c r="U105" s="14" t="s">
        <v>18</v>
      </c>
      <c r="V105" s="14" t="s">
        <v>19</v>
      </c>
      <c r="W105" s="14" t="s">
        <v>20</v>
      </c>
      <c r="X105" s="14" t="s">
        <v>21</v>
      </c>
      <c r="Y105" s="14" t="s">
        <v>30</v>
      </c>
      <c r="Z105" s="99" t="s">
        <v>141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</row>
    <row r="106" spans="1:59" ht="24.75" customHeight="1" thickTop="1">
      <c r="A106" s="5"/>
      <c r="B106" s="2" t="s">
        <v>42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>
        <v>29381</v>
      </c>
      <c r="T106" s="3">
        <v>36358</v>
      </c>
      <c r="U106" s="3">
        <v>3707</v>
      </c>
      <c r="V106" s="3">
        <v>33425</v>
      </c>
      <c r="W106" s="3">
        <v>27892</v>
      </c>
      <c r="X106" s="3">
        <v>31041</v>
      </c>
      <c r="Y106" s="3">
        <v>49501</v>
      </c>
      <c r="Z106" s="100">
        <f>CORREL(S106:Y106,S8:Y8)</f>
        <v>0.52083493974041339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</row>
    <row r="107" spans="1:59" ht="24.75" customHeight="1">
      <c r="A107" s="5"/>
      <c r="B107" s="2" t="s">
        <v>43</v>
      </c>
      <c r="C107" s="3">
        <v>25782</v>
      </c>
      <c r="D107" s="3">
        <v>31934</v>
      </c>
      <c r="E107" s="3">
        <v>36048</v>
      </c>
      <c r="F107" s="3">
        <f>118739-E107-D107-C107</f>
        <v>24975</v>
      </c>
      <c r="G107" s="3">
        <v>24386</v>
      </c>
      <c r="H107" s="3">
        <v>26836</v>
      </c>
      <c r="I107" s="3">
        <v>11530</v>
      </c>
      <c r="J107" s="3">
        <v>15247</v>
      </c>
      <c r="K107" s="3">
        <v>15447</v>
      </c>
      <c r="L107" s="3">
        <v>13836</v>
      </c>
      <c r="M107" s="3">
        <v>14700</v>
      </c>
      <c r="N107" s="3">
        <v>36149</v>
      </c>
      <c r="O107" s="3">
        <v>25815</v>
      </c>
      <c r="P107" s="3">
        <v>15560</v>
      </c>
      <c r="Q107" s="3">
        <v>20766</v>
      </c>
      <c r="R107" s="3">
        <f>70058-4139-Q107-P107-O107</f>
        <v>3778</v>
      </c>
      <c r="S107" s="3">
        <v>-565</v>
      </c>
      <c r="T107" s="3">
        <v>-4091</v>
      </c>
      <c r="U107" s="3">
        <v>10624</v>
      </c>
      <c r="V107" s="3">
        <v>-15438</v>
      </c>
      <c r="W107" s="3">
        <v>-307</v>
      </c>
      <c r="X107" s="3">
        <v>-2481</v>
      </c>
      <c r="Y107" s="3">
        <v>-4259</v>
      </c>
      <c r="Z107" s="100">
        <f>CORREL(C107:Y107,$C$8:$Y$8)</f>
        <v>0.47020167204778002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</row>
    <row r="108" spans="1:59" ht="24.75" customHeight="1">
      <c r="A108" s="5"/>
      <c r="B108" s="2" t="s">
        <v>34</v>
      </c>
      <c r="C108" s="3">
        <v>5623</v>
      </c>
      <c r="D108" s="3">
        <v>4418</v>
      </c>
      <c r="E108" s="3">
        <v>8031</v>
      </c>
      <c r="F108" s="3">
        <f>24840-E108-D108-C108</f>
        <v>6768</v>
      </c>
      <c r="G108" s="3">
        <v>7963</v>
      </c>
      <c r="H108" s="3">
        <v>6098</v>
      </c>
      <c r="I108" s="3">
        <v>7296</v>
      </c>
      <c r="J108" s="3">
        <v>7603</v>
      </c>
      <c r="K108" s="3">
        <v>8255</v>
      </c>
      <c r="L108" s="3">
        <v>6063</v>
      </c>
      <c r="M108" s="3">
        <v>7259</v>
      </c>
      <c r="N108" s="3">
        <v>5532</v>
      </c>
      <c r="O108" s="3">
        <v>7500</v>
      </c>
      <c r="P108" s="3">
        <v>6684</v>
      </c>
      <c r="Q108" s="3">
        <v>6434</v>
      </c>
      <c r="R108" s="3">
        <f>30889-Q108-P108-O108</f>
        <v>10271</v>
      </c>
      <c r="S108" s="3">
        <v>9713</v>
      </c>
      <c r="T108" s="3">
        <v>8666</v>
      </c>
      <c r="U108" s="3">
        <v>8316</v>
      </c>
      <c r="V108" s="3">
        <v>12808</v>
      </c>
      <c r="W108" s="3">
        <v>12074</v>
      </c>
      <c r="X108" s="3">
        <v>11471</v>
      </c>
      <c r="Y108" s="3">
        <v>13267</v>
      </c>
      <c r="Z108" s="98">
        <f t="shared" ref="Z108:Z116" si="34">CORREL(C108:Y108,$C$8:$Y$8)</f>
        <v>-0.49872858816403037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</row>
    <row r="109" spans="1:59" ht="24.75" customHeight="1">
      <c r="A109" s="5"/>
      <c r="B109" s="2" t="s">
        <v>35</v>
      </c>
      <c r="C109" s="3">
        <v>723</v>
      </c>
      <c r="D109" s="3">
        <v>1237</v>
      </c>
      <c r="E109" s="3">
        <v>844</v>
      </c>
      <c r="F109" s="3">
        <f>3503-E109-D109-C109</f>
        <v>699</v>
      </c>
      <c r="G109" s="3">
        <v>879</v>
      </c>
      <c r="H109" s="3">
        <v>762</v>
      </c>
      <c r="I109" s="3">
        <v>721</v>
      </c>
      <c r="J109" s="3">
        <v>638</v>
      </c>
      <c r="K109" s="3">
        <v>989</v>
      </c>
      <c r="L109" s="3">
        <v>1240</v>
      </c>
      <c r="M109" s="3">
        <v>765</v>
      </c>
      <c r="N109" s="3">
        <v>2720</v>
      </c>
      <c r="O109" s="3">
        <v>1839</v>
      </c>
      <c r="P109" s="3">
        <v>1651</v>
      </c>
      <c r="Q109" s="3">
        <v>1310</v>
      </c>
      <c r="R109" s="3">
        <v>1630</v>
      </c>
      <c r="S109" s="3">
        <v>1523</v>
      </c>
      <c r="T109" s="3">
        <v>1522</v>
      </c>
      <c r="U109" s="3">
        <v>1562</v>
      </c>
      <c r="V109" s="3">
        <v>1840</v>
      </c>
      <c r="W109" s="3">
        <v>2049</v>
      </c>
      <c r="X109" s="3">
        <v>1643</v>
      </c>
      <c r="Y109" s="3">
        <v>1774</v>
      </c>
      <c r="Z109" s="98">
        <f t="shared" si="34"/>
        <v>-4.0152432706084776E-2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</row>
    <row r="110" spans="1:59" ht="24.75" customHeight="1">
      <c r="A110" s="94" t="s">
        <v>135</v>
      </c>
      <c r="B110" s="2" t="s">
        <v>36</v>
      </c>
      <c r="C110" s="3">
        <v>101</v>
      </c>
      <c r="D110" s="3">
        <v>790</v>
      </c>
      <c r="E110" s="3">
        <v>452</v>
      </c>
      <c r="F110" s="3">
        <f>1801-E110-D110-C110</f>
        <v>458</v>
      </c>
      <c r="G110" s="3">
        <v>461</v>
      </c>
      <c r="H110" s="3">
        <v>83</v>
      </c>
      <c r="I110" s="3">
        <v>978</v>
      </c>
      <c r="J110" s="3">
        <v>557</v>
      </c>
      <c r="K110" s="3">
        <v>559</v>
      </c>
      <c r="L110" s="3">
        <v>568</v>
      </c>
      <c r="M110" s="3">
        <v>554</v>
      </c>
      <c r="N110" s="3">
        <v>557</v>
      </c>
      <c r="O110" s="3">
        <v>558</v>
      </c>
      <c r="P110" s="3">
        <v>580</v>
      </c>
      <c r="Q110" s="3">
        <v>616</v>
      </c>
      <c r="R110" s="3">
        <v>605</v>
      </c>
      <c r="S110" s="3">
        <v>481</v>
      </c>
      <c r="T110" s="3">
        <v>384</v>
      </c>
      <c r="U110" s="3">
        <v>228</v>
      </c>
      <c r="V110" s="3">
        <v>200</v>
      </c>
      <c r="W110" s="3">
        <v>225</v>
      </c>
      <c r="X110" s="3">
        <v>254</v>
      </c>
      <c r="Y110" s="3">
        <v>259</v>
      </c>
      <c r="Z110" s="98">
        <f t="shared" si="34"/>
        <v>0.27396077412219849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</row>
    <row r="111" spans="1:59" ht="24.75" customHeight="1">
      <c r="A111" s="59">
        <f>CORREL(C111:Y111,C86:Y86)</f>
        <v>0.81719501662165916</v>
      </c>
      <c r="B111" s="2" t="s">
        <v>37</v>
      </c>
      <c r="C111" s="3">
        <v>5975</v>
      </c>
      <c r="D111" s="3">
        <v>6965</v>
      </c>
      <c r="E111" s="3">
        <v>1568</v>
      </c>
      <c r="F111" s="3">
        <f>13721-E111-D111-C111</f>
        <v>-787</v>
      </c>
      <c r="G111" s="3">
        <v>2014</v>
      </c>
      <c r="H111" s="3">
        <v>1975</v>
      </c>
      <c r="I111" s="3">
        <v>1332</v>
      </c>
      <c r="J111" s="3">
        <v>1626</v>
      </c>
      <c r="K111" s="3">
        <v>1958</v>
      </c>
      <c r="L111" s="3">
        <v>1375</v>
      </c>
      <c r="M111" s="3">
        <v>1628</v>
      </c>
      <c r="N111" s="3">
        <v>1341</v>
      </c>
      <c r="O111" s="3">
        <v>2990</v>
      </c>
      <c r="P111" s="3">
        <v>5766</v>
      </c>
      <c r="Q111" s="3">
        <v>5237</v>
      </c>
      <c r="R111" s="3">
        <v>9373</v>
      </c>
      <c r="S111" s="3">
        <v>7518</v>
      </c>
      <c r="T111" s="3">
        <v>7932</v>
      </c>
      <c r="U111" s="3">
        <v>7351</v>
      </c>
      <c r="V111" s="3">
        <v>4297</v>
      </c>
      <c r="W111" s="3">
        <v>10139</v>
      </c>
      <c r="X111" s="3">
        <v>11265</v>
      </c>
      <c r="Y111" s="3">
        <v>15441</v>
      </c>
      <c r="Z111" s="98">
        <f t="shared" si="34"/>
        <v>-0.28876845923804217</v>
      </c>
      <c r="AA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</row>
    <row r="112" spans="1:59" ht="24.75" customHeight="1">
      <c r="A112" s="5"/>
      <c r="B112" s="2" t="s">
        <v>38</v>
      </c>
      <c r="C112" s="3">
        <v>927</v>
      </c>
      <c r="D112" s="3">
        <v>426</v>
      </c>
      <c r="E112" s="3">
        <v>969</v>
      </c>
      <c r="F112" s="3">
        <f>3002-E112-D112-C112</f>
        <v>680</v>
      </c>
      <c r="G112" s="3">
        <v>769</v>
      </c>
      <c r="H112" s="3">
        <v>1019</v>
      </c>
      <c r="I112" s="3">
        <v>1699</v>
      </c>
      <c r="J112" s="3">
        <v>312</v>
      </c>
      <c r="K112" s="3">
        <v>597</v>
      </c>
      <c r="L112" s="3">
        <v>1386</v>
      </c>
      <c r="M112" s="3">
        <v>1002</v>
      </c>
      <c r="N112" s="3">
        <v>4494</v>
      </c>
      <c r="O112" s="3">
        <v>1118</v>
      </c>
      <c r="P112" s="3">
        <v>798</v>
      </c>
      <c r="Q112" s="3">
        <v>966</v>
      </c>
      <c r="R112" s="3">
        <v>644</v>
      </c>
      <c r="S112" s="3">
        <v>1196</v>
      </c>
      <c r="T112" s="3">
        <v>1421</v>
      </c>
      <c r="U112" s="3">
        <v>1418</v>
      </c>
      <c r="V112" s="3">
        <v>2494</v>
      </c>
      <c r="W112" s="3">
        <v>2247</v>
      </c>
      <c r="X112" s="3">
        <v>2585</v>
      </c>
      <c r="Y112" s="3">
        <v>3103</v>
      </c>
      <c r="Z112" s="98">
        <f t="shared" si="34"/>
        <v>1.0334096654592834E-2</v>
      </c>
      <c r="AA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</row>
    <row r="113" spans="1:59" ht="24.75" customHeight="1">
      <c r="A113" s="5"/>
      <c r="B113" s="2" t="s">
        <v>39</v>
      </c>
      <c r="C113" s="3"/>
      <c r="D113" s="3"/>
      <c r="E113" s="3"/>
      <c r="F113" s="3"/>
      <c r="G113" s="3">
        <v>1206</v>
      </c>
      <c r="H113" s="3">
        <v>1464</v>
      </c>
      <c r="I113" s="3">
        <v>803</v>
      </c>
      <c r="J113" s="3">
        <v>1091</v>
      </c>
      <c r="K113" s="3">
        <v>1213</v>
      </c>
      <c r="L113" s="3">
        <v>1473</v>
      </c>
      <c r="M113" s="3">
        <v>1364</v>
      </c>
      <c r="N113" s="3">
        <v>1509</v>
      </c>
      <c r="O113" s="3">
        <v>1011</v>
      </c>
      <c r="P113" s="3">
        <v>1064</v>
      </c>
      <c r="Q113" s="3">
        <v>1123</v>
      </c>
      <c r="R113" s="3">
        <v>1599</v>
      </c>
      <c r="S113" s="3">
        <v>1530</v>
      </c>
      <c r="T113" s="3">
        <v>1576</v>
      </c>
      <c r="U113" s="3">
        <v>1216</v>
      </c>
      <c r="V113" s="3">
        <v>2054</v>
      </c>
      <c r="W113" s="3">
        <v>2080</v>
      </c>
      <c r="X113" s="3">
        <v>2317</v>
      </c>
      <c r="Y113" s="3">
        <v>2739</v>
      </c>
      <c r="Z113" s="98">
        <f t="shared" si="34"/>
        <v>-0.19192134473157391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</row>
    <row r="114" spans="1:59" ht="24.75" customHeight="1">
      <c r="A114" s="5"/>
      <c r="B114" s="2" t="s">
        <v>40</v>
      </c>
      <c r="C114" s="3"/>
      <c r="D114" s="3"/>
      <c r="E114" s="3"/>
      <c r="F114" s="3"/>
      <c r="G114" s="3">
        <v>1949</v>
      </c>
      <c r="H114" s="3">
        <v>2618</v>
      </c>
      <c r="I114" s="3">
        <v>1094</v>
      </c>
      <c r="J114" s="3">
        <v>1451</v>
      </c>
      <c r="K114" s="3">
        <v>1685</v>
      </c>
      <c r="L114" s="3">
        <v>3603</v>
      </c>
      <c r="M114" s="3">
        <v>3124</v>
      </c>
      <c r="N114" s="3">
        <v>-2903</v>
      </c>
      <c r="O114" s="3">
        <v>1771</v>
      </c>
      <c r="P114" s="3">
        <v>2931</v>
      </c>
      <c r="Q114" s="3">
        <v>2989</v>
      </c>
      <c r="R114" s="3">
        <v>4859</v>
      </c>
      <c r="S114" s="3">
        <v>4636</v>
      </c>
      <c r="T114" s="3">
        <v>3347</v>
      </c>
      <c r="U114" s="3">
        <v>6278</v>
      </c>
      <c r="V114" s="3">
        <v>4021</v>
      </c>
      <c r="W114" s="3">
        <v>5079</v>
      </c>
      <c r="X114" s="3">
        <v>8771</v>
      </c>
      <c r="Y114" s="3">
        <v>7579</v>
      </c>
      <c r="Z114" s="98">
        <f t="shared" si="34"/>
        <v>-0.42757212390698485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</row>
    <row r="115" spans="1:59" ht="24.75" customHeight="1">
      <c r="A115" s="5"/>
      <c r="B115" s="2" t="s">
        <v>41</v>
      </c>
      <c r="C115" s="3"/>
      <c r="D115" s="3"/>
      <c r="E115" s="3"/>
      <c r="F115" s="3"/>
      <c r="G115" s="3">
        <v>2974</v>
      </c>
      <c r="H115" s="3">
        <v>3692</v>
      </c>
      <c r="I115" s="3">
        <v>3112</v>
      </c>
      <c r="J115" s="3">
        <v>6120</v>
      </c>
      <c r="K115" s="3">
        <v>4935</v>
      </c>
      <c r="L115" s="3">
        <v>2516</v>
      </c>
      <c r="M115" s="3">
        <v>6043</v>
      </c>
      <c r="N115" s="3">
        <v>-2266</v>
      </c>
      <c r="O115" s="3">
        <v>4212</v>
      </c>
      <c r="P115" s="3">
        <v>2645</v>
      </c>
      <c r="Q115" s="3">
        <v>6997</v>
      </c>
      <c r="R115" s="3">
        <v>1872</v>
      </c>
      <c r="S115" s="3">
        <v>6421</v>
      </c>
      <c r="T115" s="3">
        <v>12198</v>
      </c>
      <c r="U115" s="3">
        <v>5376</v>
      </c>
      <c r="V115" s="3">
        <v>2502</v>
      </c>
      <c r="W115" s="3">
        <v>8585</v>
      </c>
      <c r="X115" s="3">
        <v>11137</v>
      </c>
      <c r="Y115" s="3">
        <v>2294</v>
      </c>
      <c r="Z115" s="98">
        <f t="shared" si="34"/>
        <v>-6.5930024680438751E-2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</row>
    <row r="116" spans="1:59" ht="24.75" customHeight="1">
      <c r="A116" s="5"/>
      <c r="B116" s="4" t="s">
        <v>44</v>
      </c>
      <c r="C116" s="3">
        <f>SUM(C106:C115)</f>
        <v>39131</v>
      </c>
      <c r="D116" s="3">
        <f t="shared" ref="D116:Y116" si="35">SUM(D106:D115)</f>
        <v>45770</v>
      </c>
      <c r="E116" s="3">
        <f t="shared" si="35"/>
        <v>47912</v>
      </c>
      <c r="F116" s="3">
        <f t="shared" si="35"/>
        <v>32793</v>
      </c>
      <c r="G116" s="3">
        <f t="shared" si="35"/>
        <v>42601</v>
      </c>
      <c r="H116" s="3">
        <f t="shared" si="35"/>
        <v>44547</v>
      </c>
      <c r="I116" s="3">
        <f t="shared" si="35"/>
        <v>28565</v>
      </c>
      <c r="J116" s="3">
        <f t="shared" si="35"/>
        <v>34645</v>
      </c>
      <c r="K116" s="3">
        <f t="shared" si="35"/>
        <v>35638</v>
      </c>
      <c r="L116" s="3">
        <f t="shared" si="35"/>
        <v>32060</v>
      </c>
      <c r="M116" s="3">
        <f t="shared" si="35"/>
        <v>36439</v>
      </c>
      <c r="N116" s="3">
        <f t="shared" si="35"/>
        <v>47133</v>
      </c>
      <c r="O116" s="3">
        <f t="shared" si="35"/>
        <v>46814</v>
      </c>
      <c r="P116" s="3">
        <f t="shared" si="35"/>
        <v>37679</v>
      </c>
      <c r="Q116" s="3">
        <f t="shared" si="35"/>
        <v>46438</v>
      </c>
      <c r="R116" s="3">
        <f t="shared" si="35"/>
        <v>34631</v>
      </c>
      <c r="S116" s="3">
        <f t="shared" si="35"/>
        <v>61834</v>
      </c>
      <c r="T116" s="3">
        <f t="shared" si="35"/>
        <v>69313</v>
      </c>
      <c r="U116" s="3">
        <f t="shared" si="35"/>
        <v>46076</v>
      </c>
      <c r="V116" s="3">
        <f t="shared" si="35"/>
        <v>48203</v>
      </c>
      <c r="W116" s="3">
        <f t="shared" si="35"/>
        <v>70063</v>
      </c>
      <c r="X116" s="3">
        <f t="shared" si="35"/>
        <v>78003</v>
      </c>
      <c r="Y116" s="3">
        <f t="shared" si="35"/>
        <v>91698</v>
      </c>
      <c r="Z116" s="98">
        <f t="shared" si="34"/>
        <v>-0.22874280330163438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</row>
    <row r="117" spans="1:59" ht="24.75" customHeight="1">
      <c r="A117" s="5"/>
      <c r="B117" s="93" t="s">
        <v>134</v>
      </c>
      <c r="C117" s="58">
        <f>C111/C116</f>
        <v>0.1526922388898827</v>
      </c>
      <c r="D117" s="58">
        <f t="shared" ref="D117:Y117" si="36">D111/D116</f>
        <v>0.15217391304347827</v>
      </c>
      <c r="E117" s="58">
        <f t="shared" si="36"/>
        <v>3.2726665553514778E-2</v>
      </c>
      <c r="F117" s="58">
        <f t="shared" si="36"/>
        <v>-2.3999024181990059E-2</v>
      </c>
      <c r="G117" s="58">
        <f t="shared" si="36"/>
        <v>4.7275885542592898E-2</v>
      </c>
      <c r="H117" s="58">
        <f t="shared" si="36"/>
        <v>4.4335196533997798E-2</v>
      </c>
      <c r="I117" s="58">
        <f t="shared" si="36"/>
        <v>4.6630491860668651E-2</v>
      </c>
      <c r="J117" s="58">
        <f t="shared" si="36"/>
        <v>4.6933179390965508E-2</v>
      </c>
      <c r="K117" s="58">
        <f t="shared" si="36"/>
        <v>5.4941354733711208E-2</v>
      </c>
      <c r="L117" s="58">
        <f t="shared" si="36"/>
        <v>4.2888334373050528E-2</v>
      </c>
      <c r="M117" s="58">
        <f t="shared" si="36"/>
        <v>4.4677406075907679E-2</v>
      </c>
      <c r="N117" s="58">
        <f t="shared" si="36"/>
        <v>2.8451403475272103E-2</v>
      </c>
      <c r="O117" s="58">
        <f t="shared" si="36"/>
        <v>6.3869782543683515E-2</v>
      </c>
      <c r="P117" s="58">
        <f t="shared" si="36"/>
        <v>0.15302953900050426</v>
      </c>
      <c r="Q117" s="58">
        <f t="shared" si="36"/>
        <v>0.1127740212756794</v>
      </c>
      <c r="R117" s="58">
        <f t="shared" si="36"/>
        <v>0.27065346077214059</v>
      </c>
      <c r="S117" s="58">
        <f t="shared" si="36"/>
        <v>0.12158359478604004</v>
      </c>
      <c r="T117" s="58">
        <f t="shared" si="36"/>
        <v>0.11443740712420469</v>
      </c>
      <c r="U117" s="58">
        <f t="shared" si="36"/>
        <v>0.15954075874641896</v>
      </c>
      <c r="V117" s="58">
        <f t="shared" si="36"/>
        <v>8.9143829222247575E-2</v>
      </c>
      <c r="W117" s="58">
        <f t="shared" si="36"/>
        <v>0.14471261578864736</v>
      </c>
      <c r="X117" s="58">
        <f t="shared" si="36"/>
        <v>0.1444175224029845</v>
      </c>
      <c r="Y117" s="58">
        <f t="shared" si="36"/>
        <v>0.16838971406137537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</row>
    <row r="118" spans="1:59" ht="24.75" customHeight="1">
      <c r="A118" s="5"/>
      <c r="B118" s="124" t="s">
        <v>172</v>
      </c>
      <c r="C118" s="96"/>
      <c r="D118" s="96"/>
      <c r="E118" s="96"/>
      <c r="F118" s="96"/>
      <c r="G118" s="96"/>
      <c r="H118" s="96"/>
      <c r="I118" s="96"/>
      <c r="J118" s="96"/>
      <c r="K118" s="96"/>
      <c r="L118" s="96"/>
      <c r="M118" s="96"/>
      <c r="N118" s="96"/>
      <c r="O118" s="96"/>
      <c r="P118" s="96"/>
      <c r="Q118" s="96"/>
      <c r="R118" s="96"/>
      <c r="S118" s="96"/>
      <c r="T118" s="96"/>
      <c r="U118" s="96"/>
      <c r="V118" s="96"/>
      <c r="W118" s="96"/>
      <c r="X118" s="96"/>
      <c r="Y118" s="96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</row>
    <row r="119" spans="1:59" ht="24.75" customHeight="1">
      <c r="A119" s="5"/>
      <c r="B119" s="93" t="s">
        <v>136</v>
      </c>
      <c r="C119" s="45">
        <v>27915</v>
      </c>
      <c r="D119" s="45">
        <f>59269-C119</f>
        <v>31354</v>
      </c>
      <c r="E119" s="45">
        <f>80862-D119-C119</f>
        <v>21593</v>
      </c>
      <c r="F119" s="45">
        <f>99735-E119-D119-C119</f>
        <v>18873</v>
      </c>
      <c r="G119" s="45">
        <v>28520</v>
      </c>
      <c r="H119" s="45">
        <f>55106-G119</f>
        <v>26586</v>
      </c>
      <c r="I119" s="45">
        <f>66359-H119-G119</f>
        <v>11253</v>
      </c>
      <c r="J119" s="45">
        <f>81785-I119-H119-G119</f>
        <v>15426</v>
      </c>
      <c r="K119" s="45">
        <f>18939</f>
        <v>18939</v>
      </c>
      <c r="L119" s="45">
        <f>33072-K119</f>
        <v>14133</v>
      </c>
      <c r="M119" s="45">
        <f>50369-L119-K119</f>
        <v>17297</v>
      </c>
      <c r="N119" s="45">
        <f>73043-M119-L119-K119</f>
        <v>22674</v>
      </c>
      <c r="O119" s="45">
        <v>23861</v>
      </c>
      <c r="P119" s="45">
        <f>45887-O119</f>
        <v>22026</v>
      </c>
      <c r="Q119" s="45">
        <f>65863-P119-O119</f>
        <v>19976</v>
      </c>
      <c r="R119" s="45">
        <f>100967-Q119-P119-O119</f>
        <v>35104</v>
      </c>
      <c r="S119" s="45">
        <v>50635</v>
      </c>
      <c r="T119" s="45">
        <f>102925-S119</f>
        <v>52290</v>
      </c>
      <c r="U119" s="45">
        <f>127284-T119-S119</f>
        <v>24359</v>
      </c>
      <c r="V119" s="45">
        <f>166892-U119-T119-S119</f>
        <v>39608</v>
      </c>
      <c r="W119" s="45">
        <v>41546</v>
      </c>
      <c r="X119" s="45">
        <f>85160-W119</f>
        <v>43614</v>
      </c>
      <c r="Y119" s="45">
        <f>141412-X119-W119</f>
        <v>56252</v>
      </c>
      <c r="Z119" s="98">
        <f t="shared" ref="Z119:Z120" si="37">CORREL(C119:Y119,$C$8:$Y$8)</f>
        <v>-0.39553247726788909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</row>
    <row r="120" spans="1:59" ht="24.75" customHeight="1">
      <c r="A120" s="46"/>
      <c r="B120" s="93" t="s">
        <v>139</v>
      </c>
      <c r="C120" s="58">
        <f>C119/C116</f>
        <v>0.713373029056247</v>
      </c>
      <c r="D120" s="58">
        <f t="shared" ref="D120:Y120" si="38">D119/D116</f>
        <v>0.6850338649770592</v>
      </c>
      <c r="E120" s="58">
        <f t="shared" si="38"/>
        <v>0.45068041409250292</v>
      </c>
      <c r="F120" s="58">
        <f t="shared" si="38"/>
        <v>0.57551916567560146</v>
      </c>
      <c r="G120" s="58">
        <f t="shared" si="38"/>
        <v>0.66946785286730359</v>
      </c>
      <c r="H120" s="58">
        <f t="shared" si="38"/>
        <v>0.59680786584955214</v>
      </c>
      <c r="I120" s="58">
        <f t="shared" si="38"/>
        <v>0.39394363731839666</v>
      </c>
      <c r="J120" s="58">
        <f t="shared" si="38"/>
        <v>0.44525905614085726</v>
      </c>
      <c r="K120" s="58">
        <f t="shared" si="38"/>
        <v>0.53142712834614736</v>
      </c>
      <c r="L120" s="58">
        <f t="shared" si="38"/>
        <v>0.44082969432314412</v>
      </c>
      <c r="M120" s="58">
        <f t="shared" si="38"/>
        <v>0.47468371799445647</v>
      </c>
      <c r="N120" s="58">
        <f t="shared" si="38"/>
        <v>0.48106422251925401</v>
      </c>
      <c r="O120" s="58">
        <f t="shared" si="38"/>
        <v>0.5096979536036228</v>
      </c>
      <c r="P120" s="58">
        <f t="shared" si="38"/>
        <v>0.58456965418402829</v>
      </c>
      <c r="Q120" s="58">
        <f t="shared" si="38"/>
        <v>0.43016495111761921</v>
      </c>
      <c r="R120" s="58">
        <f t="shared" si="38"/>
        <v>1.0136582830412058</v>
      </c>
      <c r="S120" s="58">
        <f t="shared" si="38"/>
        <v>0.81888604974609436</v>
      </c>
      <c r="T120" s="58">
        <f t="shared" si="38"/>
        <v>0.75440393576962472</v>
      </c>
      <c r="U120" s="58">
        <f t="shared" si="38"/>
        <v>0.52867002343953473</v>
      </c>
      <c r="V120" s="58">
        <f t="shared" si="38"/>
        <v>0.82169159595875774</v>
      </c>
      <c r="W120" s="58">
        <f t="shared" si="38"/>
        <v>0.59298060317143142</v>
      </c>
      <c r="X120" s="58">
        <f t="shared" si="38"/>
        <v>0.55913234106380527</v>
      </c>
      <c r="Y120" s="58">
        <f t="shared" si="38"/>
        <v>0.6134484939693341</v>
      </c>
      <c r="Z120" s="98">
        <f t="shared" si="37"/>
        <v>-0.39240596125298788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</row>
    <row r="121" spans="1:59" ht="24.75" customHeight="1">
      <c r="A121" s="5"/>
      <c r="B121" s="95"/>
      <c r="C121" s="97"/>
      <c r="D121" s="97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97"/>
      <c r="R121" s="97"/>
      <c r="S121" s="97"/>
      <c r="T121" s="97"/>
      <c r="U121" s="97"/>
      <c r="V121" s="97"/>
      <c r="W121" s="97"/>
      <c r="X121" s="97"/>
      <c r="Y121" s="97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</row>
    <row r="122" spans="1:59" ht="24.75" customHeight="1">
      <c r="A122" s="5"/>
      <c r="B122" s="93" t="s">
        <v>168</v>
      </c>
      <c r="C122" s="45">
        <f>C108-C125-C126-C127-C128</f>
        <v>2852</v>
      </c>
      <c r="D122" s="45">
        <f t="shared" ref="D122:Y122" si="39">D108-D125-D126-D127-D128</f>
        <v>1930</v>
      </c>
      <c r="E122" s="45">
        <f t="shared" si="39"/>
        <v>4794</v>
      </c>
      <c r="F122" s="45">
        <f t="shared" si="39"/>
        <v>3360</v>
      </c>
      <c r="G122" s="45">
        <f t="shared" si="39"/>
        <v>4269</v>
      </c>
      <c r="H122" s="45">
        <f t="shared" si="39"/>
        <v>3288</v>
      </c>
      <c r="I122" s="45">
        <f t="shared" si="39"/>
        <v>3659</v>
      </c>
      <c r="J122" s="45">
        <f t="shared" si="39"/>
        <v>3615</v>
      </c>
      <c r="K122" s="45">
        <f t="shared" si="39"/>
        <v>4417</v>
      </c>
      <c r="L122" s="45">
        <f t="shared" si="39"/>
        <v>2549</v>
      </c>
      <c r="M122" s="45">
        <f t="shared" si="39"/>
        <v>3935</v>
      </c>
      <c r="N122" s="45">
        <f t="shared" si="39"/>
        <v>1816</v>
      </c>
      <c r="O122" s="45">
        <f t="shared" si="39"/>
        <v>3570</v>
      </c>
      <c r="P122" s="45">
        <f t="shared" si="39"/>
        <v>3099</v>
      </c>
      <c r="Q122" s="45">
        <f t="shared" si="39"/>
        <v>2940</v>
      </c>
      <c r="R122" s="45">
        <f t="shared" si="39"/>
        <v>5657</v>
      </c>
      <c r="S122" s="45">
        <f t="shared" si="39"/>
        <v>4858</v>
      </c>
      <c r="T122" s="45">
        <f t="shared" si="39"/>
        <v>4866</v>
      </c>
      <c r="U122" s="45">
        <f t="shared" si="39"/>
        <v>4124</v>
      </c>
      <c r="V122" s="45">
        <f t="shared" si="39"/>
        <v>5611</v>
      </c>
      <c r="W122" s="45">
        <f t="shared" si="39"/>
        <v>5873</v>
      </c>
      <c r="X122" s="45">
        <f t="shared" si="39"/>
        <v>5634</v>
      </c>
      <c r="Y122" s="45">
        <f t="shared" si="39"/>
        <v>5123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</row>
    <row r="123" spans="1:59" ht="24.75" customHeight="1">
      <c r="A123" s="5"/>
      <c r="B123" s="124" t="s">
        <v>172</v>
      </c>
      <c r="C123" s="5"/>
      <c r="D123" s="5"/>
      <c r="E123" s="5"/>
      <c r="F123" s="5"/>
      <c r="G123" s="5"/>
      <c r="H123" s="5"/>
      <c r="I123" s="5"/>
      <c r="J123" s="5"/>
      <c r="K123" s="5"/>
      <c r="L123" s="6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</row>
    <row r="124" spans="1:59" ht="24.75" customHeight="1" thickBot="1">
      <c r="A124" s="5"/>
      <c r="B124" s="13" t="s">
        <v>105</v>
      </c>
      <c r="C124" s="14" t="s">
        <v>0</v>
      </c>
      <c r="D124" s="14" t="s">
        <v>1</v>
      </c>
      <c r="E124" s="14" t="s">
        <v>2</v>
      </c>
      <c r="F124" s="14" t="s">
        <v>3</v>
      </c>
      <c r="G124" s="14" t="s">
        <v>4</v>
      </c>
      <c r="H124" s="14" t="s">
        <v>5</v>
      </c>
      <c r="I124" s="14" t="s">
        <v>6</v>
      </c>
      <c r="J124" s="14" t="s">
        <v>7</v>
      </c>
      <c r="K124" s="14" t="s">
        <v>8</v>
      </c>
      <c r="L124" s="16" t="s">
        <v>9</v>
      </c>
      <c r="M124" s="14" t="s">
        <v>10</v>
      </c>
      <c r="N124" s="14" t="s">
        <v>11</v>
      </c>
      <c r="O124" s="14" t="s">
        <v>12</v>
      </c>
      <c r="P124" s="14" t="s">
        <v>13</v>
      </c>
      <c r="Q124" s="14" t="s">
        <v>14</v>
      </c>
      <c r="R124" s="14" t="s">
        <v>15</v>
      </c>
      <c r="S124" s="14" t="s">
        <v>16</v>
      </c>
      <c r="T124" s="14" t="s">
        <v>17</v>
      </c>
      <c r="U124" s="14" t="s">
        <v>18</v>
      </c>
      <c r="V124" s="14" t="s">
        <v>19</v>
      </c>
      <c r="W124" s="14" t="s">
        <v>20</v>
      </c>
      <c r="X124" s="14" t="s">
        <v>21</v>
      </c>
      <c r="Y124" s="14" t="s">
        <v>30</v>
      </c>
      <c r="Z124" s="99" t="s">
        <v>142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</row>
    <row r="125" spans="1:59" ht="24.75" customHeight="1" thickTop="1">
      <c r="A125" s="5"/>
      <c r="B125" s="89" t="s">
        <v>106</v>
      </c>
      <c r="C125" s="90">
        <v>1886</v>
      </c>
      <c r="D125" s="90">
        <v>1994</v>
      </c>
      <c r="E125" s="90">
        <v>2017</v>
      </c>
      <c r="F125" s="90">
        <v>2007</v>
      </c>
      <c r="G125" s="90">
        <v>2169</v>
      </c>
      <c r="H125" s="90">
        <v>2263</v>
      </c>
      <c r="I125" s="90">
        <v>2368</v>
      </c>
      <c r="J125" s="90">
        <v>2636</v>
      </c>
      <c r="K125" s="90">
        <v>2594</v>
      </c>
      <c r="L125" s="90">
        <v>2665</v>
      </c>
      <c r="M125" s="90">
        <v>2653</v>
      </c>
      <c r="N125" s="90">
        <v>2874</v>
      </c>
      <c r="O125" s="90">
        <v>2809</v>
      </c>
      <c r="P125" s="90">
        <v>2911</v>
      </c>
      <c r="Q125" s="90">
        <v>2759</v>
      </c>
      <c r="R125" s="90">
        <v>2672</v>
      </c>
      <c r="S125" s="90">
        <v>3107</v>
      </c>
      <c r="T125" s="90">
        <v>2974</v>
      </c>
      <c r="U125" s="90">
        <v>3246</v>
      </c>
      <c r="V125" s="90">
        <v>3425</v>
      </c>
      <c r="W125" s="90">
        <v>4410</v>
      </c>
      <c r="X125" s="90">
        <v>4313</v>
      </c>
      <c r="Y125" s="90">
        <v>4718</v>
      </c>
      <c r="Z125" s="100">
        <f>CORREL(C125:Y125,$C$12:$Y$12)</f>
        <v>0.25188899263689429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</row>
    <row r="126" spans="1:59" ht="24.75" customHeight="1">
      <c r="A126" s="5"/>
      <c r="B126" s="91" t="s">
        <v>107</v>
      </c>
      <c r="C126" s="36">
        <v>411</v>
      </c>
      <c r="D126" s="36">
        <v>52</v>
      </c>
      <c r="E126" s="36">
        <v>677</v>
      </c>
      <c r="F126" s="36">
        <v>733</v>
      </c>
      <c r="G126" s="36">
        <v>946</v>
      </c>
      <c r="H126" s="36">
        <v>56</v>
      </c>
      <c r="I126" s="36">
        <v>352</v>
      </c>
      <c r="J126" s="36">
        <v>878</v>
      </c>
      <c r="K126" s="36">
        <v>583</v>
      </c>
      <c r="L126" s="36">
        <v>44</v>
      </c>
      <c r="M126" s="36">
        <v>-75</v>
      </c>
      <c r="N126" s="36">
        <v>6</v>
      </c>
      <c r="O126" s="36">
        <v>454</v>
      </c>
      <c r="P126" s="36">
        <v>46</v>
      </c>
      <c r="Q126" s="36">
        <v>83</v>
      </c>
      <c r="R126" s="36">
        <v>1035</v>
      </c>
      <c r="S126" s="36">
        <v>1023</v>
      </c>
      <c r="T126" s="36">
        <v>49</v>
      </c>
      <c r="U126" s="36">
        <v>270</v>
      </c>
      <c r="V126" s="36">
        <v>2631</v>
      </c>
      <c r="W126" s="36">
        <v>716</v>
      </c>
      <c r="X126" s="36">
        <v>283</v>
      </c>
      <c r="Y126" s="36">
        <v>2196</v>
      </c>
      <c r="Z126" s="98">
        <f>CORREL(C126:Y126,$C$12:$Y$12)</f>
        <v>0.22090492690648458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</row>
    <row r="127" spans="1:59" ht="24.75" customHeight="1">
      <c r="A127" s="5"/>
      <c r="B127" s="91" t="s">
        <v>108</v>
      </c>
      <c r="C127" s="36">
        <v>194</v>
      </c>
      <c r="D127" s="36">
        <v>53</v>
      </c>
      <c r="E127" s="36">
        <v>311</v>
      </c>
      <c r="F127" s="36">
        <v>263</v>
      </c>
      <c r="G127" s="36">
        <v>274</v>
      </c>
      <c r="H127" s="36">
        <v>73</v>
      </c>
      <c r="I127" s="36">
        <v>607</v>
      </c>
      <c r="J127" s="36">
        <v>-63</v>
      </c>
      <c r="K127" s="36">
        <v>332</v>
      </c>
      <c r="L127" s="36">
        <v>305</v>
      </c>
      <c r="M127" s="36">
        <v>299</v>
      </c>
      <c r="N127" s="36">
        <v>268</v>
      </c>
      <c r="O127" s="36">
        <v>316</v>
      </c>
      <c r="P127" s="36">
        <v>324</v>
      </c>
      <c r="Q127" s="36">
        <v>317</v>
      </c>
      <c r="R127" s="36">
        <v>427</v>
      </c>
      <c r="S127" s="36">
        <v>367</v>
      </c>
      <c r="T127" s="36">
        <v>342</v>
      </c>
      <c r="U127" s="36">
        <v>219</v>
      </c>
      <c r="V127" s="36">
        <v>513</v>
      </c>
      <c r="W127" s="36">
        <v>516</v>
      </c>
      <c r="X127" s="36">
        <v>498</v>
      </c>
      <c r="Y127" s="36">
        <v>466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</row>
    <row r="128" spans="1:59" ht="24.75" customHeight="1">
      <c r="A128" s="5"/>
      <c r="B128" s="91" t="s">
        <v>109</v>
      </c>
      <c r="C128" s="36">
        <v>280</v>
      </c>
      <c r="D128" s="36">
        <v>389</v>
      </c>
      <c r="E128" s="36">
        <v>232</v>
      </c>
      <c r="F128" s="36">
        <v>405</v>
      </c>
      <c r="G128" s="36">
        <v>305</v>
      </c>
      <c r="H128" s="36">
        <v>418</v>
      </c>
      <c r="I128" s="36">
        <v>310</v>
      </c>
      <c r="J128" s="36">
        <v>537</v>
      </c>
      <c r="K128" s="36">
        <v>329</v>
      </c>
      <c r="L128" s="36">
        <v>500</v>
      </c>
      <c r="M128" s="36">
        <v>447</v>
      </c>
      <c r="N128" s="36">
        <v>568</v>
      </c>
      <c r="O128" s="36">
        <v>351</v>
      </c>
      <c r="P128" s="36">
        <v>304</v>
      </c>
      <c r="Q128" s="36">
        <v>335</v>
      </c>
      <c r="R128" s="36">
        <v>480</v>
      </c>
      <c r="S128" s="36">
        <v>358</v>
      </c>
      <c r="T128" s="36">
        <v>435</v>
      </c>
      <c r="U128" s="36">
        <v>457</v>
      </c>
      <c r="V128" s="36">
        <v>628</v>
      </c>
      <c r="W128" s="36">
        <v>559</v>
      </c>
      <c r="X128" s="36">
        <v>743</v>
      </c>
      <c r="Y128" s="36">
        <v>764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</row>
    <row r="129" spans="1:59" ht="24.75" customHeight="1">
      <c r="A129" s="5"/>
      <c r="B129" s="91" t="s">
        <v>110</v>
      </c>
      <c r="C129" s="36">
        <v>93</v>
      </c>
      <c r="D129" s="36">
        <v>55</v>
      </c>
      <c r="E129" s="36">
        <v>80</v>
      </c>
      <c r="F129" s="36">
        <v>65</v>
      </c>
      <c r="G129" s="36">
        <v>92</v>
      </c>
      <c r="H129" s="36">
        <v>59</v>
      </c>
      <c r="I129" s="36">
        <v>74</v>
      </c>
      <c r="J129" s="36">
        <v>75</v>
      </c>
      <c r="K129" s="36">
        <v>96</v>
      </c>
      <c r="L129" s="36">
        <v>182</v>
      </c>
      <c r="M129" s="36">
        <v>485</v>
      </c>
      <c r="N129" s="36">
        <v>263</v>
      </c>
      <c r="O129" s="36">
        <v>185</v>
      </c>
      <c r="P129" s="36">
        <v>136</v>
      </c>
      <c r="Q129" s="36">
        <v>147</v>
      </c>
      <c r="R129" s="36">
        <v>104</v>
      </c>
      <c r="S129" s="36">
        <v>130</v>
      </c>
      <c r="T129" s="36">
        <v>85</v>
      </c>
      <c r="U129" s="36">
        <v>153</v>
      </c>
      <c r="V129" s="36">
        <v>660</v>
      </c>
      <c r="W129" s="36">
        <v>265</v>
      </c>
      <c r="X129" s="36">
        <v>207</v>
      </c>
      <c r="Y129" s="36">
        <v>260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</row>
    <row r="130" spans="1:59" ht="24.75" customHeight="1">
      <c r="A130" s="5"/>
      <c r="B130" s="91" t="s">
        <v>111</v>
      </c>
      <c r="C130" s="36">
        <v>81</v>
      </c>
      <c r="D130" s="36">
        <v>85</v>
      </c>
      <c r="E130" s="36">
        <v>86</v>
      </c>
      <c r="F130" s="36">
        <v>88</v>
      </c>
      <c r="G130" s="36">
        <v>98</v>
      </c>
      <c r="H130" s="36">
        <v>123</v>
      </c>
      <c r="I130" s="36">
        <v>102</v>
      </c>
      <c r="J130" s="36">
        <v>177</v>
      </c>
      <c r="K130" s="36">
        <v>54</v>
      </c>
      <c r="L130" s="36">
        <v>48</v>
      </c>
      <c r="M130" s="36">
        <v>54</v>
      </c>
      <c r="N130" s="36">
        <v>-2</v>
      </c>
      <c r="O130" s="36">
        <v>36</v>
      </c>
      <c r="P130" s="36">
        <v>35</v>
      </c>
      <c r="Q130" s="36">
        <v>11</v>
      </c>
      <c r="R130" s="36">
        <v>62</v>
      </c>
      <c r="S130" s="36">
        <v>40</v>
      </c>
      <c r="T130" s="36">
        <v>56</v>
      </c>
      <c r="U130" s="36">
        <v>20</v>
      </c>
      <c r="V130" s="36">
        <v>40</v>
      </c>
      <c r="W130" s="36">
        <v>38</v>
      </c>
      <c r="X130" s="36">
        <v>42</v>
      </c>
      <c r="Y130" s="36">
        <v>45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</row>
    <row r="131" spans="1:59" ht="24.75" customHeight="1">
      <c r="A131" s="5"/>
      <c r="B131" s="91" t="s">
        <v>112</v>
      </c>
      <c r="C131" s="36">
        <v>87</v>
      </c>
      <c r="D131" s="36">
        <v>105</v>
      </c>
      <c r="E131" s="36">
        <v>129</v>
      </c>
      <c r="F131" s="36">
        <v>144</v>
      </c>
      <c r="G131" s="36">
        <v>163</v>
      </c>
      <c r="H131" s="36">
        <v>167</v>
      </c>
      <c r="I131" s="36">
        <v>157</v>
      </c>
      <c r="J131" s="36">
        <v>543</v>
      </c>
      <c r="K131" s="36">
        <v>476</v>
      </c>
      <c r="L131" s="36">
        <v>477</v>
      </c>
      <c r="M131" s="36">
        <v>433</v>
      </c>
      <c r="N131" s="36">
        <v>441</v>
      </c>
      <c r="O131" s="36">
        <v>455</v>
      </c>
      <c r="P131" s="36">
        <v>465</v>
      </c>
      <c r="Q131" s="36">
        <v>439</v>
      </c>
      <c r="R131" s="36">
        <v>435</v>
      </c>
      <c r="S131" s="36">
        <v>469</v>
      </c>
      <c r="T131" s="36">
        <v>451</v>
      </c>
      <c r="U131" s="36">
        <v>469</v>
      </c>
      <c r="V131" s="36">
        <v>449</v>
      </c>
      <c r="W131" s="36">
        <v>584</v>
      </c>
      <c r="X131" s="36">
        <v>599</v>
      </c>
      <c r="Y131" s="36">
        <v>641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</row>
    <row r="132" spans="1:59" ht="24.75" customHeight="1">
      <c r="A132" s="5"/>
      <c r="B132" s="91" t="s">
        <v>113</v>
      </c>
      <c r="C132" s="36">
        <v>58</v>
      </c>
      <c r="D132" s="36">
        <v>48</v>
      </c>
      <c r="E132" s="36">
        <v>28</v>
      </c>
      <c r="F132" s="36">
        <v>31</v>
      </c>
      <c r="G132" s="36">
        <v>31</v>
      </c>
      <c r="H132" s="36">
        <v>30</v>
      </c>
      <c r="I132" s="36">
        <v>31</v>
      </c>
      <c r="J132" s="36">
        <v>28</v>
      </c>
      <c r="K132" s="36">
        <v>28</v>
      </c>
      <c r="L132" s="36">
        <v>30</v>
      </c>
      <c r="M132" s="36">
        <v>28</v>
      </c>
      <c r="N132" s="36">
        <v>28</v>
      </c>
      <c r="O132" s="36">
        <v>29</v>
      </c>
      <c r="P132" s="36">
        <v>26</v>
      </c>
      <c r="Q132" s="36">
        <v>26</v>
      </c>
      <c r="R132" s="36">
        <v>30</v>
      </c>
      <c r="S132" s="36">
        <v>27</v>
      </c>
      <c r="T132" s="36">
        <v>56</v>
      </c>
      <c r="U132" s="36">
        <v>142</v>
      </c>
      <c r="V132" s="36">
        <v>64</v>
      </c>
      <c r="W132" s="36">
        <v>130</v>
      </c>
      <c r="X132" s="36">
        <v>143</v>
      </c>
      <c r="Y132" s="36">
        <v>150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</row>
    <row r="133" spans="1:59" ht="24.75" customHeight="1">
      <c r="A133" s="5"/>
      <c r="B133" s="91" t="s">
        <v>114</v>
      </c>
      <c r="C133" s="36">
        <v>124</v>
      </c>
      <c r="D133" s="36">
        <v>121</v>
      </c>
      <c r="E133" s="36">
        <v>117</v>
      </c>
      <c r="F133" s="36">
        <v>107</v>
      </c>
      <c r="G133" s="36">
        <v>104</v>
      </c>
      <c r="H133" s="36">
        <v>104</v>
      </c>
      <c r="I133" s="36">
        <v>104</v>
      </c>
      <c r="J133" s="36">
        <v>103</v>
      </c>
      <c r="K133" s="36">
        <v>154</v>
      </c>
      <c r="L133" s="36">
        <v>198</v>
      </c>
      <c r="M133" s="36">
        <v>315</v>
      </c>
      <c r="N133" s="36">
        <v>541</v>
      </c>
      <c r="O133" s="36">
        <v>398</v>
      </c>
      <c r="P133" s="36">
        <v>398</v>
      </c>
      <c r="Q133" s="36">
        <v>383</v>
      </c>
      <c r="R133" s="36">
        <v>302</v>
      </c>
      <c r="S133" s="36">
        <v>338</v>
      </c>
      <c r="T133" s="36">
        <v>336</v>
      </c>
      <c r="U133" s="36">
        <v>354</v>
      </c>
      <c r="V133" s="36">
        <v>593</v>
      </c>
      <c r="W133" s="36">
        <v>511</v>
      </c>
      <c r="X133" s="36">
        <v>461</v>
      </c>
      <c r="Y133" s="36">
        <v>524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</row>
    <row r="134" spans="1:59" ht="24.75" customHeight="1">
      <c r="A134" s="5"/>
      <c r="B134" s="91" t="s">
        <v>115</v>
      </c>
      <c r="C134" s="36">
        <v>9</v>
      </c>
      <c r="D134" s="36">
        <v>3</v>
      </c>
      <c r="E134" s="36">
        <v>52</v>
      </c>
      <c r="F134" s="36">
        <v>5</v>
      </c>
      <c r="G134" s="36">
        <v>1</v>
      </c>
      <c r="H134" s="36">
        <v>8</v>
      </c>
      <c r="I134" s="36">
        <v>5</v>
      </c>
      <c r="J134" s="36">
        <v>79</v>
      </c>
      <c r="K134" s="36">
        <v>19</v>
      </c>
      <c r="L134" s="36">
        <v>9</v>
      </c>
      <c r="M134" s="36">
        <v>27</v>
      </c>
      <c r="N134" s="36">
        <v>31</v>
      </c>
      <c r="O134" s="36">
        <v>21</v>
      </c>
      <c r="P134" s="36">
        <v>11</v>
      </c>
      <c r="Q134" s="36">
        <v>11</v>
      </c>
      <c r="R134" s="36">
        <v>24</v>
      </c>
      <c r="S134" s="36">
        <v>12</v>
      </c>
      <c r="T134" s="36">
        <v>23</v>
      </c>
      <c r="U134" s="36">
        <v>23</v>
      </c>
      <c r="V134" s="36">
        <v>21</v>
      </c>
      <c r="W134" s="36">
        <v>25</v>
      </c>
      <c r="X134" s="36">
        <v>23</v>
      </c>
      <c r="Y134" s="36">
        <v>49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</row>
    <row r="135" spans="1:59" ht="24.75" customHeight="1">
      <c r="A135" s="5"/>
      <c r="B135" s="91" t="s">
        <v>116</v>
      </c>
      <c r="C135" s="36">
        <v>78</v>
      </c>
      <c r="D135" s="36">
        <v>85</v>
      </c>
      <c r="E135" s="36">
        <v>243</v>
      </c>
      <c r="F135" s="36">
        <v>390</v>
      </c>
      <c r="G135" s="36">
        <v>125</v>
      </c>
      <c r="H135" s="36">
        <v>107</v>
      </c>
      <c r="I135" s="36">
        <v>111</v>
      </c>
      <c r="J135" s="36">
        <v>185</v>
      </c>
      <c r="K135" s="36">
        <v>153</v>
      </c>
      <c r="L135" s="36">
        <v>428</v>
      </c>
      <c r="M135" s="36">
        <v>270</v>
      </c>
      <c r="N135" s="36">
        <v>163</v>
      </c>
      <c r="O135" s="36">
        <v>158</v>
      </c>
      <c r="P135" s="36">
        <v>125</v>
      </c>
      <c r="Q135" s="36">
        <v>113</v>
      </c>
      <c r="R135" s="36">
        <v>125</v>
      </c>
      <c r="S135" s="36">
        <v>151</v>
      </c>
      <c r="T135" s="36">
        <v>138</v>
      </c>
      <c r="U135" s="36">
        <v>134</v>
      </c>
      <c r="V135" s="36">
        <v>127</v>
      </c>
      <c r="W135" s="36">
        <v>659</v>
      </c>
      <c r="X135" s="36">
        <v>165</v>
      </c>
      <c r="Y135" s="36">
        <v>197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</row>
    <row r="136" spans="1:59" ht="24.75" customHeight="1">
      <c r="A136" s="5"/>
      <c r="B136" s="91" t="s">
        <v>117</v>
      </c>
      <c r="C136" s="36">
        <v>157</v>
      </c>
      <c r="D136" s="36">
        <v>123</v>
      </c>
      <c r="E136" s="36">
        <v>239</v>
      </c>
      <c r="F136" s="36">
        <v>260</v>
      </c>
      <c r="G136" s="36">
        <v>217</v>
      </c>
      <c r="H136" s="36">
        <v>149</v>
      </c>
      <c r="I136" s="36">
        <v>201</v>
      </c>
      <c r="J136" s="36">
        <v>295</v>
      </c>
      <c r="K136" s="36">
        <v>172</v>
      </c>
      <c r="L136" s="36">
        <v>187</v>
      </c>
      <c r="M136" s="36">
        <v>271</v>
      </c>
      <c r="N136" s="36">
        <v>364</v>
      </c>
      <c r="O136" s="36">
        <v>237</v>
      </c>
      <c r="P136" s="36">
        <v>195</v>
      </c>
      <c r="Q136" s="36">
        <v>332</v>
      </c>
      <c r="R136" s="36">
        <v>723</v>
      </c>
      <c r="S136" s="36">
        <v>269</v>
      </c>
      <c r="T136" s="36">
        <v>361</v>
      </c>
      <c r="U136" s="36">
        <v>325</v>
      </c>
      <c r="V136" s="36">
        <v>348</v>
      </c>
      <c r="W136" s="36">
        <v>499</v>
      </c>
      <c r="X136" s="36">
        <v>474</v>
      </c>
      <c r="Y136" s="36">
        <v>448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</row>
    <row r="137" spans="1:59" ht="24.75" customHeight="1">
      <c r="A137" s="5"/>
      <c r="B137" s="91" t="s">
        <v>118</v>
      </c>
      <c r="C137" s="36">
        <v>46</v>
      </c>
      <c r="D137" s="36">
        <v>71</v>
      </c>
      <c r="E137" s="36">
        <v>51</v>
      </c>
      <c r="F137" s="36">
        <v>56</v>
      </c>
      <c r="G137" s="36">
        <v>61</v>
      </c>
      <c r="H137" s="36">
        <v>98</v>
      </c>
      <c r="I137" s="36">
        <v>84</v>
      </c>
      <c r="J137" s="36">
        <v>82</v>
      </c>
      <c r="K137" s="36">
        <v>64</v>
      </c>
      <c r="L137" s="36">
        <v>104</v>
      </c>
      <c r="M137" s="36">
        <v>82</v>
      </c>
      <c r="N137" s="36">
        <v>68</v>
      </c>
      <c r="O137" s="36">
        <v>82</v>
      </c>
      <c r="P137" s="36">
        <v>99</v>
      </c>
      <c r="Q137" s="36">
        <v>84</v>
      </c>
      <c r="R137" s="36">
        <v>80</v>
      </c>
      <c r="S137" s="36">
        <v>74</v>
      </c>
      <c r="T137" s="36">
        <v>74</v>
      </c>
      <c r="U137" s="36">
        <v>84</v>
      </c>
      <c r="V137" s="36">
        <v>99</v>
      </c>
      <c r="W137" s="36">
        <v>95</v>
      </c>
      <c r="X137" s="36">
        <v>118</v>
      </c>
      <c r="Y137" s="36">
        <v>141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</row>
    <row r="138" spans="1:59" ht="24.75" customHeight="1">
      <c r="A138" s="5"/>
      <c r="B138" s="91" t="s">
        <v>119</v>
      </c>
      <c r="C138" s="36">
        <v>103</v>
      </c>
      <c r="D138" s="36">
        <v>164</v>
      </c>
      <c r="E138" s="36">
        <v>92</v>
      </c>
      <c r="F138" s="36">
        <v>67</v>
      </c>
      <c r="G138" s="36">
        <v>88</v>
      </c>
      <c r="H138" s="36">
        <v>112</v>
      </c>
      <c r="I138" s="36">
        <v>183</v>
      </c>
      <c r="J138" s="36">
        <v>147</v>
      </c>
      <c r="K138" s="36">
        <v>162</v>
      </c>
      <c r="L138" s="36">
        <v>195</v>
      </c>
      <c r="M138" s="36">
        <v>167</v>
      </c>
      <c r="N138" s="36">
        <v>136</v>
      </c>
      <c r="O138" s="36">
        <v>100</v>
      </c>
      <c r="P138" s="36">
        <v>60</v>
      </c>
      <c r="Q138" s="36">
        <v>84</v>
      </c>
      <c r="R138" s="36">
        <v>91</v>
      </c>
      <c r="S138" s="36">
        <v>86</v>
      </c>
      <c r="T138" s="36">
        <v>82</v>
      </c>
      <c r="U138" s="36">
        <v>98</v>
      </c>
      <c r="V138" s="36">
        <v>41</v>
      </c>
      <c r="W138" s="36">
        <v>54</v>
      </c>
      <c r="X138" s="36">
        <v>89</v>
      </c>
      <c r="Y138" s="36">
        <v>176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</row>
    <row r="139" spans="1:59" ht="24.75" customHeight="1">
      <c r="A139" s="5"/>
      <c r="B139" s="91" t="s">
        <v>120</v>
      </c>
      <c r="C139" s="36">
        <v>31</v>
      </c>
      <c r="D139" s="36">
        <v>32</v>
      </c>
      <c r="E139" s="36">
        <v>30</v>
      </c>
      <c r="F139" s="36">
        <v>28</v>
      </c>
      <c r="G139" s="36">
        <v>27</v>
      </c>
      <c r="H139" s="36">
        <v>28</v>
      </c>
      <c r="I139" s="36">
        <v>28</v>
      </c>
      <c r="J139" s="36">
        <v>27</v>
      </c>
      <c r="K139" s="36">
        <v>27</v>
      </c>
      <c r="L139" s="36">
        <v>27</v>
      </c>
      <c r="M139" s="36">
        <v>26</v>
      </c>
      <c r="N139" s="36">
        <v>24</v>
      </c>
      <c r="O139" s="36">
        <v>20</v>
      </c>
      <c r="P139" s="36">
        <v>17</v>
      </c>
      <c r="Q139" s="36">
        <v>16</v>
      </c>
      <c r="R139" s="36">
        <v>14</v>
      </c>
      <c r="S139" s="36">
        <v>14</v>
      </c>
      <c r="T139" s="36">
        <v>15</v>
      </c>
      <c r="U139" s="36">
        <v>14</v>
      </c>
      <c r="V139" s="36">
        <v>19</v>
      </c>
      <c r="W139" s="36">
        <v>21</v>
      </c>
      <c r="X139" s="36">
        <v>19</v>
      </c>
      <c r="Y139" s="36">
        <v>21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</row>
    <row r="140" spans="1:59" ht="24.75" customHeight="1">
      <c r="A140" s="5"/>
      <c r="B140" s="91" t="s">
        <v>121</v>
      </c>
      <c r="C140" s="36">
        <v>50</v>
      </c>
      <c r="D140" s="36">
        <v>53</v>
      </c>
      <c r="E140" s="36">
        <v>58</v>
      </c>
      <c r="F140" s="36">
        <v>46</v>
      </c>
      <c r="G140" s="36">
        <v>53</v>
      </c>
      <c r="H140" s="36">
        <v>64</v>
      </c>
      <c r="I140" s="36">
        <v>64</v>
      </c>
      <c r="J140" s="36">
        <v>52</v>
      </c>
      <c r="K140" s="36">
        <v>47</v>
      </c>
      <c r="L140" s="36">
        <v>49</v>
      </c>
      <c r="M140" s="36">
        <v>51</v>
      </c>
      <c r="N140" s="36">
        <v>55</v>
      </c>
      <c r="O140" s="36">
        <v>48</v>
      </c>
      <c r="P140" s="36">
        <v>43</v>
      </c>
      <c r="Q140" s="36">
        <v>42</v>
      </c>
      <c r="R140" s="36">
        <v>44</v>
      </c>
      <c r="S140" s="36">
        <v>44</v>
      </c>
      <c r="T140" s="36">
        <v>47</v>
      </c>
      <c r="U140" s="36">
        <v>47</v>
      </c>
      <c r="V140" s="36">
        <v>66</v>
      </c>
      <c r="W140" s="36">
        <v>71</v>
      </c>
      <c r="X140" s="36">
        <v>96</v>
      </c>
      <c r="Y140" s="36">
        <v>96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</row>
    <row r="141" spans="1:59" ht="24.75" customHeight="1">
      <c r="A141" s="5"/>
      <c r="B141" s="91" t="s">
        <v>122</v>
      </c>
      <c r="C141" s="36">
        <v>15</v>
      </c>
      <c r="D141" s="36">
        <v>2</v>
      </c>
      <c r="E141" s="36">
        <v>13</v>
      </c>
      <c r="F141" s="36">
        <v>3</v>
      </c>
      <c r="G141" s="36">
        <v>4</v>
      </c>
      <c r="H141" s="36">
        <v>2</v>
      </c>
      <c r="I141" s="36">
        <v>8</v>
      </c>
      <c r="J141" s="36">
        <v>9</v>
      </c>
      <c r="K141" s="36">
        <v>11</v>
      </c>
      <c r="L141" s="36">
        <v>11</v>
      </c>
      <c r="M141" s="36">
        <v>3</v>
      </c>
      <c r="N141" s="36">
        <v>48</v>
      </c>
      <c r="O141" s="36">
        <v>8</v>
      </c>
      <c r="P141" s="36">
        <v>11</v>
      </c>
      <c r="Q141" s="36">
        <v>8</v>
      </c>
      <c r="R141" s="36">
        <v>20</v>
      </c>
      <c r="S141" s="36">
        <v>21</v>
      </c>
      <c r="T141" s="36">
        <v>22</v>
      </c>
      <c r="U141" s="36">
        <v>10</v>
      </c>
      <c r="V141" s="36">
        <v>23</v>
      </c>
      <c r="W141" s="36">
        <v>17</v>
      </c>
      <c r="X141" s="36">
        <v>17</v>
      </c>
      <c r="Y141" s="36">
        <v>6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</row>
    <row r="142" spans="1:59" ht="24.75" customHeight="1">
      <c r="A142" s="5"/>
      <c r="B142" s="91" t="s">
        <v>123</v>
      </c>
      <c r="C142" s="36">
        <v>8</v>
      </c>
      <c r="D142" s="36">
        <v>2</v>
      </c>
      <c r="E142" s="36">
        <v>2</v>
      </c>
      <c r="F142" s="36">
        <v>27</v>
      </c>
      <c r="G142" s="36">
        <v>4</v>
      </c>
      <c r="H142" s="36">
        <v>10</v>
      </c>
      <c r="I142" s="36">
        <v>4</v>
      </c>
      <c r="J142" s="36">
        <v>9</v>
      </c>
      <c r="K142" s="36">
        <v>13</v>
      </c>
      <c r="L142" s="36">
        <v>22</v>
      </c>
      <c r="M142" s="36">
        <v>5</v>
      </c>
      <c r="N142" s="36">
        <v>5</v>
      </c>
      <c r="O142" s="36">
        <v>4</v>
      </c>
      <c r="P142" s="36">
        <v>2</v>
      </c>
      <c r="Q142" s="36">
        <v>3</v>
      </c>
      <c r="R142" s="36">
        <v>3</v>
      </c>
      <c r="S142" s="36">
        <v>3</v>
      </c>
      <c r="T142" s="36">
        <v>2</v>
      </c>
      <c r="U142" s="36">
        <v>8</v>
      </c>
      <c r="V142" s="36">
        <v>3</v>
      </c>
      <c r="W142" s="36">
        <v>4</v>
      </c>
      <c r="X142" s="36">
        <v>11</v>
      </c>
      <c r="Y142" s="36">
        <v>6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</row>
    <row r="143" spans="1:59" ht="24.75" customHeight="1">
      <c r="A143" s="5"/>
      <c r="B143" s="91" t="s">
        <v>124</v>
      </c>
      <c r="C143" s="36">
        <v>388</v>
      </c>
      <c r="D143" s="36">
        <v>457</v>
      </c>
      <c r="E143" s="36">
        <v>381</v>
      </c>
      <c r="F143" s="36">
        <v>455</v>
      </c>
      <c r="G143" s="36">
        <v>441</v>
      </c>
      <c r="H143" s="36">
        <v>547</v>
      </c>
      <c r="I143" s="36">
        <v>775</v>
      </c>
      <c r="J143" s="36">
        <v>1015</v>
      </c>
      <c r="K143" s="36">
        <v>440</v>
      </c>
      <c r="L143" s="36">
        <v>906</v>
      </c>
      <c r="M143" s="36">
        <v>824</v>
      </c>
      <c r="N143" s="36">
        <v>842</v>
      </c>
      <c r="O143" s="36">
        <v>878</v>
      </c>
      <c r="P143" s="36">
        <v>585</v>
      </c>
      <c r="Q143" s="36">
        <v>725</v>
      </c>
      <c r="R143" s="36">
        <v>572</v>
      </c>
      <c r="S143" s="36">
        <v>929</v>
      </c>
      <c r="T143" s="36">
        <v>919</v>
      </c>
      <c r="U143" s="36">
        <v>1211</v>
      </c>
      <c r="V143" s="36">
        <v>2031</v>
      </c>
      <c r="W143" s="36">
        <v>1748</v>
      </c>
      <c r="X143" s="36">
        <v>2025</v>
      </c>
      <c r="Y143" s="36">
        <v>2703</v>
      </c>
      <c r="Z143" s="98">
        <f>CORREL(C143:Y143,$C$12:$Y$12)</f>
        <v>0.21353043829699231</v>
      </c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</row>
    <row r="144" spans="1:59" ht="24.75" customHeight="1">
      <c r="A144" s="5"/>
      <c r="B144" s="91" t="s">
        <v>125</v>
      </c>
      <c r="C144" s="36">
        <v>1632</v>
      </c>
      <c r="D144" s="36">
        <v>1856</v>
      </c>
      <c r="E144" s="36">
        <v>2376</v>
      </c>
      <c r="F144" s="36">
        <v>2365</v>
      </c>
      <c r="G144" s="36">
        <v>2975</v>
      </c>
      <c r="H144" s="36">
        <v>1556</v>
      </c>
      <c r="I144" s="36">
        <v>2186</v>
      </c>
      <c r="J144" s="36">
        <v>2198</v>
      </c>
      <c r="K144" s="36">
        <v>2133</v>
      </c>
      <c r="L144" s="36">
        <v>2325</v>
      </c>
      <c r="M144" s="36">
        <v>2277</v>
      </c>
      <c r="N144" s="36">
        <v>2820</v>
      </c>
      <c r="O144" s="36">
        <v>2287</v>
      </c>
      <c r="P144" s="36">
        <v>2848</v>
      </c>
      <c r="Q144" s="36">
        <v>2809</v>
      </c>
      <c r="R144" s="36">
        <v>2622</v>
      </c>
      <c r="S144" s="36">
        <v>2471</v>
      </c>
      <c r="T144" s="36">
        <v>2382</v>
      </c>
      <c r="U144" s="36">
        <v>2283</v>
      </c>
      <c r="V144" s="36">
        <v>3922</v>
      </c>
      <c r="W144" s="36">
        <v>3057</v>
      </c>
      <c r="X144" s="36">
        <v>3536</v>
      </c>
      <c r="Y144" s="36">
        <v>3397</v>
      </c>
      <c r="Z144" s="100">
        <f>CORREL(C144:Y144,$C$12:$Y$12)</f>
        <v>0.31075943252543081</v>
      </c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</row>
    <row r="145" spans="1:59" ht="24.75" customHeight="1">
      <c r="A145" s="5"/>
      <c r="B145" s="91" t="s">
        <v>126</v>
      </c>
      <c r="C145" s="36">
        <v>-68</v>
      </c>
      <c r="D145" s="36">
        <v>10</v>
      </c>
      <c r="E145" s="36">
        <v>61</v>
      </c>
      <c r="F145" s="36">
        <v>-154</v>
      </c>
      <c r="G145" s="36">
        <v>19</v>
      </c>
      <c r="H145" s="36">
        <v>1</v>
      </c>
      <c r="I145" s="36">
        <v>41</v>
      </c>
      <c r="J145" s="36">
        <v>48</v>
      </c>
      <c r="K145" s="36">
        <v>-49</v>
      </c>
      <c r="L145" s="36">
        <v>-4</v>
      </c>
      <c r="M145" s="36">
        <v>21</v>
      </c>
      <c r="N145" s="36">
        <v>639</v>
      </c>
      <c r="O145" s="36">
        <v>144</v>
      </c>
      <c r="P145" s="36">
        <v>561</v>
      </c>
      <c r="Q145" s="36">
        <v>142</v>
      </c>
      <c r="R145" s="36">
        <v>293</v>
      </c>
      <c r="S145" s="36">
        <v>86</v>
      </c>
      <c r="T145" s="36">
        <v>985</v>
      </c>
      <c r="U145" s="36">
        <v>-450</v>
      </c>
      <c r="V145" s="36">
        <v>-643</v>
      </c>
      <c r="W145" s="36">
        <v>205</v>
      </c>
      <c r="X145" s="36">
        <v>849</v>
      </c>
      <c r="Y145" s="36">
        <v>15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</row>
    <row r="146" spans="1:59" ht="24.75" customHeight="1">
      <c r="A146" s="5"/>
      <c r="B146" s="91" t="s">
        <v>127</v>
      </c>
      <c r="C146" s="36">
        <v>1943</v>
      </c>
      <c r="D146" s="36">
        <v>2571</v>
      </c>
      <c r="E146" s="36">
        <v>1258</v>
      </c>
      <c r="F146" s="36">
        <v>1892</v>
      </c>
      <c r="G146" s="36">
        <v>1949</v>
      </c>
      <c r="H146" s="36">
        <v>2618</v>
      </c>
      <c r="I146" s="36">
        <v>1093</v>
      </c>
      <c r="J146" s="36">
        <v>1117</v>
      </c>
      <c r="K146" s="36">
        <v>1685</v>
      </c>
      <c r="L146" s="36">
        <v>1129</v>
      </c>
      <c r="M146" s="36">
        <v>1437</v>
      </c>
      <c r="N146" s="36">
        <v>1258</v>
      </c>
      <c r="O146" s="36">
        <v>1771</v>
      </c>
      <c r="P146" s="36">
        <v>1102</v>
      </c>
      <c r="Q146" s="36">
        <v>2183</v>
      </c>
      <c r="R146" s="36">
        <v>3893</v>
      </c>
      <c r="S146" s="36">
        <v>3353</v>
      </c>
      <c r="T146" s="36">
        <v>1962</v>
      </c>
      <c r="U146" s="36">
        <v>5422</v>
      </c>
      <c r="V146" s="36">
        <v>4262</v>
      </c>
      <c r="W146" s="36">
        <v>5080</v>
      </c>
      <c r="X146" s="36">
        <v>8771</v>
      </c>
      <c r="Y146" s="36">
        <v>7583</v>
      </c>
      <c r="Z146" s="98">
        <f>CORREL(C146:Y146,$C$12:$Y$12)</f>
        <v>0.14049970349388069</v>
      </c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</row>
    <row r="147" spans="1:59" ht="24.75" customHeight="1">
      <c r="A147" s="5"/>
      <c r="B147" s="91" t="s">
        <v>128</v>
      </c>
      <c r="C147" s="36">
        <v>36</v>
      </c>
      <c r="D147" s="36">
        <v>49</v>
      </c>
      <c r="E147" s="36">
        <v>52</v>
      </c>
      <c r="F147" s="36">
        <v>91</v>
      </c>
      <c r="G147" s="36">
        <v>58</v>
      </c>
      <c r="H147" s="36">
        <v>80</v>
      </c>
      <c r="I147" s="36">
        <v>75</v>
      </c>
      <c r="J147" s="36">
        <v>97</v>
      </c>
      <c r="K147" s="36">
        <v>66</v>
      </c>
      <c r="L147" s="36">
        <v>111</v>
      </c>
      <c r="M147" s="36">
        <v>60</v>
      </c>
      <c r="N147" s="36">
        <v>46</v>
      </c>
      <c r="O147" s="36">
        <v>45</v>
      </c>
      <c r="P147" s="36">
        <v>57</v>
      </c>
      <c r="Q147" s="36">
        <v>67</v>
      </c>
      <c r="R147" s="36">
        <v>73</v>
      </c>
      <c r="S147" s="36">
        <v>64</v>
      </c>
      <c r="T147" s="36">
        <v>70</v>
      </c>
      <c r="U147" s="36">
        <v>80</v>
      </c>
      <c r="V147" s="36">
        <v>147</v>
      </c>
      <c r="W147" s="36">
        <v>109</v>
      </c>
      <c r="X147" s="36">
        <v>113</v>
      </c>
      <c r="Y147" s="36">
        <v>157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</row>
    <row r="148" spans="1:59" ht="24.75" customHeight="1">
      <c r="A148" s="5"/>
      <c r="B148" s="91" t="s">
        <v>129</v>
      </c>
      <c r="C148" s="36">
        <v>7</v>
      </c>
      <c r="D148" s="36">
        <v>0</v>
      </c>
      <c r="E148" s="36">
        <v>0</v>
      </c>
      <c r="F148" s="36">
        <v>1</v>
      </c>
      <c r="G148" s="36">
        <v>0</v>
      </c>
      <c r="H148" s="36">
        <v>2</v>
      </c>
      <c r="I148" s="36"/>
      <c r="J148" s="36">
        <v>0</v>
      </c>
      <c r="K148" s="36">
        <v>11</v>
      </c>
      <c r="L148" s="36">
        <v>2</v>
      </c>
      <c r="M148" s="36"/>
      <c r="N148" s="36">
        <v>6</v>
      </c>
      <c r="O148" s="36"/>
      <c r="P148" s="36"/>
      <c r="Q148" s="36"/>
      <c r="R148" s="36">
        <v>0</v>
      </c>
      <c r="S148" s="36"/>
      <c r="T148" s="36"/>
      <c r="U148" s="36"/>
      <c r="V148" s="36">
        <v>0</v>
      </c>
      <c r="W148" s="36">
        <v>3</v>
      </c>
      <c r="X148" s="36"/>
      <c r="Y148" s="36">
        <v>0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</row>
    <row r="149" spans="1:59" ht="24.75" customHeight="1">
      <c r="A149" s="5"/>
      <c r="B149" s="91" t="s">
        <v>130</v>
      </c>
      <c r="C149" s="36">
        <v>92</v>
      </c>
      <c r="D149" s="36">
        <v>11</v>
      </c>
      <c r="E149" s="36">
        <v>12</v>
      </c>
      <c r="F149" s="36">
        <v>6</v>
      </c>
      <c r="G149" s="36">
        <v>114</v>
      </c>
      <c r="H149" s="36">
        <v>10</v>
      </c>
      <c r="I149" s="36">
        <v>5</v>
      </c>
      <c r="J149" s="36">
        <v>39</v>
      </c>
      <c r="K149" s="36">
        <v>113</v>
      </c>
      <c r="L149" s="36">
        <v>22</v>
      </c>
      <c r="M149" s="36">
        <v>20</v>
      </c>
      <c r="N149" s="36">
        <v>40</v>
      </c>
      <c r="O149" s="36">
        <v>61</v>
      </c>
      <c r="P149" s="36">
        <v>2</v>
      </c>
      <c r="Q149" s="36">
        <v>1</v>
      </c>
      <c r="R149" s="36">
        <v>3</v>
      </c>
      <c r="S149" s="36">
        <v>12</v>
      </c>
      <c r="T149" s="36">
        <v>5</v>
      </c>
      <c r="U149" s="36">
        <v>1</v>
      </c>
      <c r="V149" s="36">
        <v>20</v>
      </c>
      <c r="W149" s="36">
        <v>31</v>
      </c>
      <c r="X149" s="36">
        <v>21</v>
      </c>
      <c r="Y149" s="36">
        <v>65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</row>
    <row r="150" spans="1:59" ht="24.75" customHeight="1">
      <c r="A150" s="5"/>
      <c r="B150" s="91" t="s">
        <v>131</v>
      </c>
      <c r="C150" s="36"/>
      <c r="D150" s="36"/>
      <c r="E150" s="36"/>
      <c r="F150" s="36">
        <v>0</v>
      </c>
      <c r="G150" s="36">
        <v>14</v>
      </c>
      <c r="H150" s="36">
        <v>466</v>
      </c>
      <c r="I150" s="36">
        <v>464</v>
      </c>
      <c r="J150" s="36">
        <v>396</v>
      </c>
      <c r="K150" s="36">
        <v>443</v>
      </c>
      <c r="L150" s="36">
        <v>448</v>
      </c>
      <c r="M150" s="36">
        <v>493</v>
      </c>
      <c r="N150" s="36">
        <v>76</v>
      </c>
      <c r="O150" s="36">
        <v>380</v>
      </c>
      <c r="P150" s="36">
        <v>4</v>
      </c>
      <c r="Q150" s="36"/>
      <c r="R150" s="36">
        <v>739</v>
      </c>
      <c r="S150" s="36">
        <v>376</v>
      </c>
      <c r="T150" s="36">
        <v>7430</v>
      </c>
      <c r="U150" s="36"/>
      <c r="V150" s="36">
        <v>872</v>
      </c>
      <c r="W150" s="36">
        <v>412</v>
      </c>
      <c r="X150" s="36">
        <v>469</v>
      </c>
      <c r="Y150" s="36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</row>
    <row r="151" spans="1:59" ht="24.75" customHeight="1">
      <c r="A151" s="5"/>
      <c r="B151" s="91" t="s">
        <v>132</v>
      </c>
      <c r="C151" s="36">
        <v>115</v>
      </c>
      <c r="D151" s="36">
        <v>184</v>
      </c>
      <c r="E151" s="36">
        <v>128</v>
      </c>
      <c r="F151" s="36">
        <v>64</v>
      </c>
      <c r="G151" s="36">
        <v>149</v>
      </c>
      <c r="H151" s="36">
        <v>357</v>
      </c>
      <c r="I151" s="36">
        <v>166</v>
      </c>
      <c r="J151" s="36">
        <v>216</v>
      </c>
      <c r="K151" s="36">
        <v>695</v>
      </c>
      <c r="L151" s="36">
        <v>193</v>
      </c>
      <c r="M151" s="36">
        <v>453</v>
      </c>
      <c r="N151" s="36">
        <v>353</v>
      </c>
      <c r="O151" s="36">
        <v>345</v>
      </c>
      <c r="P151" s="36">
        <v>255</v>
      </c>
      <c r="Q151" s="36">
        <v>215</v>
      </c>
      <c r="R151" s="36">
        <v>913</v>
      </c>
      <c r="S151" s="36">
        <v>2168</v>
      </c>
      <c r="T151" s="36">
        <v>5</v>
      </c>
      <c r="U151" s="36">
        <v>505</v>
      </c>
      <c r="V151" s="36">
        <v>-504</v>
      </c>
      <c r="W151" s="36"/>
      <c r="X151" s="36"/>
      <c r="Y151" s="36">
        <v>716</v>
      </c>
      <c r="Z151" s="98">
        <f>CORREL(C151:Y151,$C$12:$Y$12)</f>
        <v>7.6921171621622153E-2</v>
      </c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</row>
    <row r="152" spans="1:59" ht="24.75" customHeight="1">
      <c r="A152" s="5"/>
      <c r="B152" s="92" t="s">
        <v>44</v>
      </c>
      <c r="C152" s="36">
        <f>SUM(C125:C151)</f>
        <v>7856</v>
      </c>
      <c r="D152" s="36">
        <f t="shared" ref="D152:Y152" si="40">SUM(D125:D151)</f>
        <v>8575</v>
      </c>
      <c r="E152" s="36">
        <f t="shared" si="40"/>
        <v>8725</v>
      </c>
      <c r="F152" s="36">
        <f t="shared" si="40"/>
        <v>9445</v>
      </c>
      <c r="G152" s="36">
        <f t="shared" si="40"/>
        <v>10481</v>
      </c>
      <c r="H152" s="36">
        <f t="shared" si="40"/>
        <v>9508</v>
      </c>
      <c r="I152" s="36">
        <f t="shared" si="40"/>
        <v>9598</v>
      </c>
      <c r="J152" s="36">
        <f t="shared" si="40"/>
        <v>10925</v>
      </c>
      <c r="K152" s="36">
        <f t="shared" si="40"/>
        <v>10851</v>
      </c>
      <c r="L152" s="36">
        <f t="shared" si="40"/>
        <v>10613</v>
      </c>
      <c r="M152" s="36">
        <f t="shared" si="40"/>
        <v>11126</v>
      </c>
      <c r="N152" s="36">
        <f t="shared" si="40"/>
        <v>11961</v>
      </c>
      <c r="O152" s="36">
        <f t="shared" si="40"/>
        <v>11622</v>
      </c>
      <c r="P152" s="36">
        <f t="shared" si="40"/>
        <v>10622</v>
      </c>
      <c r="Q152" s="36">
        <f t="shared" si="40"/>
        <v>11335</v>
      </c>
      <c r="R152" s="36">
        <f t="shared" si="40"/>
        <v>15779</v>
      </c>
      <c r="S152" s="36">
        <f t="shared" si="40"/>
        <v>15992</v>
      </c>
      <c r="T152" s="36">
        <f t="shared" si="40"/>
        <v>19306</v>
      </c>
      <c r="U152" s="36">
        <f t="shared" si="40"/>
        <v>15125</v>
      </c>
      <c r="V152" s="36">
        <f t="shared" si="40"/>
        <v>19857</v>
      </c>
      <c r="W152" s="36">
        <f t="shared" si="40"/>
        <v>19819</v>
      </c>
      <c r="X152" s="36">
        <f t="shared" si="40"/>
        <v>24085</v>
      </c>
      <c r="Y152" s="36">
        <f t="shared" si="40"/>
        <v>25540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</row>
    <row r="153" spans="1:59" ht="24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</row>
    <row r="154" spans="1:59" ht="24.75" customHeight="1">
      <c r="A154" s="46"/>
      <c r="B154" s="93" t="s">
        <v>133</v>
      </c>
      <c r="C154" s="58">
        <f>C146/C152</f>
        <v>0.24732688391038696</v>
      </c>
      <c r="D154" s="58">
        <f t="shared" ref="D154:Y154" si="41">D146/D152</f>
        <v>0.29982507288629739</v>
      </c>
      <c r="E154" s="58">
        <f t="shared" si="41"/>
        <v>0.14418338108882522</v>
      </c>
      <c r="F154" s="58">
        <f t="shared" si="41"/>
        <v>0.20031762837480149</v>
      </c>
      <c r="G154" s="58">
        <f t="shared" si="41"/>
        <v>0.18595553859364564</v>
      </c>
      <c r="H154" s="58">
        <f t="shared" si="41"/>
        <v>0.27534707614640302</v>
      </c>
      <c r="I154" s="58">
        <f t="shared" si="41"/>
        <v>0.11387789122733903</v>
      </c>
      <c r="J154" s="58">
        <f t="shared" si="41"/>
        <v>0.10224256292906178</v>
      </c>
      <c r="K154" s="58">
        <f t="shared" si="41"/>
        <v>0.15528522716800294</v>
      </c>
      <c r="L154" s="58">
        <f t="shared" si="41"/>
        <v>0.1063789691887308</v>
      </c>
      <c r="M154" s="58">
        <f t="shared" si="41"/>
        <v>0.12915692971418299</v>
      </c>
      <c r="N154" s="58">
        <f t="shared" si="41"/>
        <v>0.10517515257921578</v>
      </c>
      <c r="O154" s="58">
        <f t="shared" si="41"/>
        <v>0.15238341077267251</v>
      </c>
      <c r="P154" s="58">
        <f t="shared" si="41"/>
        <v>0.10374694031255884</v>
      </c>
      <c r="Q154" s="58">
        <f t="shared" si="41"/>
        <v>0.19258932509925011</v>
      </c>
      <c r="R154" s="58">
        <f t="shared" si="41"/>
        <v>0.24672032448190634</v>
      </c>
      <c r="S154" s="58">
        <f t="shared" si="41"/>
        <v>0.20966733366683341</v>
      </c>
      <c r="T154" s="58">
        <f t="shared" si="41"/>
        <v>0.10162643737698125</v>
      </c>
      <c r="U154" s="58">
        <f t="shared" si="41"/>
        <v>0.35847933884297523</v>
      </c>
      <c r="V154" s="58">
        <f t="shared" si="41"/>
        <v>0.21463463765926374</v>
      </c>
      <c r="W154" s="58">
        <f t="shared" si="41"/>
        <v>0.25631969322367426</v>
      </c>
      <c r="X154" s="58">
        <f t="shared" si="41"/>
        <v>0.36416856964915922</v>
      </c>
      <c r="Y154" s="58">
        <f t="shared" si="41"/>
        <v>0.29690681284259984</v>
      </c>
      <c r="Z154" s="98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</row>
    <row r="155" spans="1:59" ht="24.75" customHeight="1">
      <c r="A155" s="5"/>
      <c r="B155" s="93" t="s">
        <v>143</v>
      </c>
      <c r="C155" s="58">
        <f>C144/C152</f>
        <v>0.20773930753564154</v>
      </c>
      <c r="D155" s="58">
        <f t="shared" ref="D155:Y155" si="42">D144/D152</f>
        <v>0.21644314868804665</v>
      </c>
      <c r="E155" s="58">
        <f t="shared" si="42"/>
        <v>0.27232091690544413</v>
      </c>
      <c r="F155" s="58">
        <f t="shared" si="42"/>
        <v>0.25039703546850184</v>
      </c>
      <c r="G155" s="58">
        <f t="shared" si="42"/>
        <v>0.28384696116782748</v>
      </c>
      <c r="H155" s="58">
        <f t="shared" si="42"/>
        <v>0.16365166175851914</v>
      </c>
      <c r="I155" s="58">
        <f t="shared" si="42"/>
        <v>0.22775578245467806</v>
      </c>
      <c r="J155" s="58">
        <f t="shared" si="42"/>
        <v>0.20118993135011443</v>
      </c>
      <c r="K155" s="58">
        <f t="shared" si="42"/>
        <v>0.19657174453967377</v>
      </c>
      <c r="L155" s="58">
        <f t="shared" si="42"/>
        <v>0.21907095072081409</v>
      </c>
      <c r="M155" s="58">
        <f t="shared" si="42"/>
        <v>0.20465576127988497</v>
      </c>
      <c r="N155" s="58">
        <f t="shared" si="42"/>
        <v>0.23576624028091298</v>
      </c>
      <c r="O155" s="58">
        <f t="shared" si="42"/>
        <v>0.19678196523834107</v>
      </c>
      <c r="P155" s="58">
        <f t="shared" si="42"/>
        <v>0.2681227640745622</v>
      </c>
      <c r="Q155" s="58">
        <f t="shared" si="42"/>
        <v>0.24781649757388619</v>
      </c>
      <c r="R155" s="58">
        <f t="shared" si="42"/>
        <v>0.16617022625007921</v>
      </c>
      <c r="S155" s="58">
        <f t="shared" si="42"/>
        <v>0.15451475737868933</v>
      </c>
      <c r="T155" s="58">
        <f t="shared" si="42"/>
        <v>0.1233813322283228</v>
      </c>
      <c r="U155" s="58">
        <f t="shared" si="42"/>
        <v>0.15094214876033057</v>
      </c>
      <c r="V155" s="58">
        <f t="shared" si="42"/>
        <v>0.19751221231807423</v>
      </c>
      <c r="W155" s="58">
        <f t="shared" si="42"/>
        <v>0.15424592562692366</v>
      </c>
      <c r="X155" s="58">
        <f t="shared" si="42"/>
        <v>0.14681336931700228</v>
      </c>
      <c r="Y155" s="58">
        <f t="shared" si="42"/>
        <v>0.13300704776820674</v>
      </c>
      <c r="Z155" s="98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</row>
    <row r="156" spans="1:59" ht="24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6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</row>
    <row r="157" spans="1:59" ht="24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6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</row>
    <row r="158" spans="1:59" ht="24.75" customHeight="1">
      <c r="A158" s="5"/>
      <c r="B158" s="120" t="s">
        <v>165</v>
      </c>
      <c r="C158" s="121">
        <v>12</v>
      </c>
      <c r="D158" s="121">
        <v>13</v>
      </c>
      <c r="E158" s="121">
        <v>14</v>
      </c>
      <c r="F158" s="121">
        <v>15</v>
      </c>
      <c r="G158" s="121">
        <v>16</v>
      </c>
      <c r="H158" s="121">
        <v>17</v>
      </c>
      <c r="I158" s="121">
        <v>18</v>
      </c>
      <c r="J158" s="121">
        <v>19</v>
      </c>
      <c r="K158" s="121">
        <v>20</v>
      </c>
      <c r="L158" s="122">
        <v>21</v>
      </c>
      <c r="M158" s="123" t="s">
        <v>167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</row>
    <row r="159" spans="1:59" ht="24.75" customHeight="1">
      <c r="A159" s="5"/>
      <c r="B159" s="118" t="s">
        <v>159</v>
      </c>
      <c r="C159" s="66">
        <v>369932</v>
      </c>
      <c r="D159" s="66">
        <v>426951</v>
      </c>
      <c r="E159" s="66">
        <v>423689</v>
      </c>
      <c r="F159" s="66">
        <v>454383</v>
      </c>
      <c r="G159" s="66">
        <v>543758</v>
      </c>
      <c r="H159" s="66">
        <v>720797</v>
      </c>
      <c r="I159" s="66">
        <v>788181</v>
      </c>
      <c r="J159" s="66">
        <v>674839</v>
      </c>
      <c r="K159" s="66">
        <v>614301</v>
      </c>
      <c r="L159" s="119">
        <v>851080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</row>
    <row r="160" spans="1:59" ht="24.75" customHeight="1">
      <c r="A160" s="5"/>
      <c r="B160" s="118" t="s">
        <v>160</v>
      </c>
      <c r="C160" s="66">
        <v>34946</v>
      </c>
      <c r="D160" s="66">
        <v>49055</v>
      </c>
      <c r="E160" s="66">
        <v>59841</v>
      </c>
      <c r="F160" s="66">
        <v>78170</v>
      </c>
      <c r="G160" s="66">
        <v>95291</v>
      </c>
      <c r="H160" s="66">
        <v>139535</v>
      </c>
      <c r="I160" s="66">
        <v>146771</v>
      </c>
      <c r="J160" s="66">
        <v>116750</v>
      </c>
      <c r="K160" s="66">
        <v>-107379</v>
      </c>
      <c r="L160" s="119">
        <v>108980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</row>
    <row r="161" spans="1:59" ht="24.75" customHeight="1">
      <c r="A161" s="5"/>
      <c r="B161" s="118" t="s">
        <v>161</v>
      </c>
      <c r="C161" s="58">
        <f>C160/C159</f>
        <v>9.4466009969399786E-2</v>
      </c>
      <c r="D161" s="58">
        <f t="shared" ref="D161:L161" si="43">D160/D159</f>
        <v>0.11489608877833755</v>
      </c>
      <c r="E161" s="58">
        <f t="shared" si="43"/>
        <v>0.14123803072536695</v>
      </c>
      <c r="F161" s="58">
        <f t="shared" si="43"/>
        <v>0.17203548548251146</v>
      </c>
      <c r="G161" s="58">
        <f t="shared" si="43"/>
        <v>0.1752452377712144</v>
      </c>
      <c r="H161" s="58">
        <f t="shared" si="43"/>
        <v>0.19358432401910664</v>
      </c>
      <c r="I161" s="58">
        <f t="shared" si="43"/>
        <v>0.18621484151482973</v>
      </c>
      <c r="J161" s="58">
        <f t="shared" si="43"/>
        <v>0.17300422767504545</v>
      </c>
      <c r="K161" s="58">
        <f t="shared" si="43"/>
        <v>-0.17479867361440077</v>
      </c>
      <c r="L161" s="58">
        <f t="shared" si="43"/>
        <v>0.1280490670677257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</row>
    <row r="162" spans="1:59" ht="24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6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</row>
    <row r="163" spans="1:59" ht="24.75" customHeight="1">
      <c r="A163" s="5"/>
      <c r="B163" s="118" t="s">
        <v>162</v>
      </c>
      <c r="C163" s="66">
        <v>72619</v>
      </c>
      <c r="D163" s="66">
        <v>83757</v>
      </c>
      <c r="E163" s="66">
        <v>88475</v>
      </c>
      <c r="F163" s="66">
        <v>123883</v>
      </c>
      <c r="G163" s="66">
        <v>124058</v>
      </c>
      <c r="H163" s="66">
        <v>200745</v>
      </c>
      <c r="I163" s="66">
        <v>169314</v>
      </c>
      <c r="J163" s="66">
        <v>150245</v>
      </c>
      <c r="K163" s="66">
        <v>171239</v>
      </c>
      <c r="L163" s="119">
        <v>259596</v>
      </c>
      <c r="M163" s="66">
        <f>SUM(W6:Y6)</f>
        <v>262914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</row>
    <row r="164" spans="1:59" ht="24.75" customHeight="1">
      <c r="A164" s="5"/>
      <c r="B164" s="118" t="s">
        <v>163</v>
      </c>
      <c r="C164" s="66">
        <v>4937</v>
      </c>
      <c r="D164" s="66">
        <v>3641</v>
      </c>
      <c r="E164" s="66">
        <v>5699</v>
      </c>
      <c r="F164" s="66">
        <v>10278</v>
      </c>
      <c r="G164" s="66">
        <v>8579</v>
      </c>
      <c r="H164" s="66">
        <v>27651</v>
      </c>
      <c r="I164" s="66">
        <v>18952</v>
      </c>
      <c r="J164" s="66">
        <v>-1029</v>
      </c>
      <c r="K164" s="66">
        <v>4160</v>
      </c>
      <c r="L164" s="119">
        <v>26361</v>
      </c>
      <c r="M164" s="66">
        <f>SUM(W13:Y13)</f>
        <v>23141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</row>
    <row r="165" spans="1:59" ht="24.75" customHeight="1">
      <c r="A165" s="5"/>
      <c r="B165" s="118" t="s">
        <v>164</v>
      </c>
      <c r="C165" s="58">
        <f t="shared" ref="C165:M165" si="44">C164/C163</f>
        <v>6.7984962613090241E-2</v>
      </c>
      <c r="D165" s="58">
        <f t="shared" si="44"/>
        <v>4.3470993469202572E-2</v>
      </c>
      <c r="E165" s="58">
        <f t="shared" si="44"/>
        <v>6.4413676179711776E-2</v>
      </c>
      <c r="F165" s="58">
        <f t="shared" si="44"/>
        <v>8.2965378623378508E-2</v>
      </c>
      <c r="G165" s="58">
        <f t="shared" si="44"/>
        <v>6.915313804833223E-2</v>
      </c>
      <c r="H165" s="58">
        <f t="shared" si="44"/>
        <v>0.13774191138010911</v>
      </c>
      <c r="I165" s="58">
        <f t="shared" si="44"/>
        <v>0.1119340397131956</v>
      </c>
      <c r="J165" s="58">
        <f t="shared" si="44"/>
        <v>-6.8488136044460718E-3</v>
      </c>
      <c r="K165" s="58">
        <f t="shared" si="44"/>
        <v>2.4293531263322024E-2</v>
      </c>
      <c r="L165" s="58">
        <f t="shared" si="44"/>
        <v>0.10154624878657606</v>
      </c>
      <c r="M165" s="58">
        <f t="shared" si="44"/>
        <v>8.8017374502689094E-2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</row>
    <row r="166" spans="1:59" ht="24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6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</row>
    <row r="167" spans="1:59" ht="24.75" customHeight="1">
      <c r="A167" s="5"/>
      <c r="B167" s="118" t="s">
        <v>166</v>
      </c>
      <c r="C167" s="58">
        <f>C163/C159</f>
        <v>0.19630364499421515</v>
      </c>
      <c r="D167" s="58">
        <f t="shared" ref="D167:L167" si="45">D163/D159</f>
        <v>0.19617473667938476</v>
      </c>
      <c r="E167" s="58">
        <f t="shared" si="45"/>
        <v>0.20882062078552902</v>
      </c>
      <c r="F167" s="58">
        <f t="shared" si="45"/>
        <v>0.27264004155085025</v>
      </c>
      <c r="G167" s="58">
        <f t="shared" si="45"/>
        <v>0.22814928699899586</v>
      </c>
      <c r="H167" s="58">
        <f t="shared" si="45"/>
        <v>0.27850421131053543</v>
      </c>
      <c r="I167" s="58">
        <f t="shared" si="45"/>
        <v>0.21481613994755011</v>
      </c>
      <c r="J167" s="58">
        <f t="shared" si="45"/>
        <v>0.22263828853993323</v>
      </c>
      <c r="K167" s="58">
        <f t="shared" si="45"/>
        <v>0.27875422634832109</v>
      </c>
      <c r="L167" s="58">
        <f t="shared" si="45"/>
        <v>0.30501950462941202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</row>
    <row r="168" spans="1:59" ht="24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6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</row>
    <row r="169" spans="1:59" ht="24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6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</row>
    <row r="170" spans="1:59" ht="24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6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</row>
    <row r="171" spans="1:59" ht="24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6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</row>
    <row r="172" spans="1:59" ht="24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6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</row>
    <row r="173" spans="1:59" ht="24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6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</row>
    <row r="174" spans="1:59" ht="24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6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</row>
    <row r="175" spans="1:59" ht="24.75" customHeight="1">
      <c r="A175" s="5"/>
      <c r="B175" s="5"/>
      <c r="C175" s="5"/>
      <c r="D175" s="5"/>
      <c r="E175" s="5"/>
      <c r="F175" s="5"/>
      <c r="G175" s="5"/>
      <c r="I175" s="5"/>
      <c r="J175" s="5"/>
      <c r="K175" s="5"/>
      <c r="L175" s="6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</row>
    <row r="176" spans="1:59" ht="24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6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</row>
    <row r="177" spans="1:59" ht="24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6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</row>
    <row r="178" spans="1:59" ht="24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6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</row>
    <row r="179" spans="1:59" ht="24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6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</row>
    <row r="180" spans="1:59" ht="24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6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</row>
    <row r="181" spans="1:59" ht="24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6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</row>
    <row r="182" spans="1:59" ht="24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6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</row>
    <row r="183" spans="1:59" ht="24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6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</row>
    <row r="184" spans="1:59" ht="24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6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</row>
    <row r="185" spans="1:59" ht="24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6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</row>
    <row r="186" spans="1:59" ht="24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6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</row>
    <row r="187" spans="1:59" ht="24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6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</row>
    <row r="188" spans="1:59" ht="24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6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</row>
    <row r="189" spans="1:59" ht="24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6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</row>
    <row r="190" spans="1:59" ht="24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6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</row>
    <row r="191" spans="1:59" ht="24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6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</row>
    <row r="192" spans="1:59" ht="24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6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</row>
    <row r="193" spans="1:59" ht="24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6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</row>
    <row r="194" spans="1:59" ht="24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6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</row>
    <row r="195" spans="1:59" ht="24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6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</row>
    <row r="196" spans="1:59" ht="24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6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</row>
    <row r="197" spans="1:59" ht="24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6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</row>
    <row r="198" spans="1:59" ht="24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6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</row>
    <row r="199" spans="1:59" ht="24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6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</row>
    <row r="200" spans="1:59" ht="24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6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1:59" ht="24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6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</row>
    <row r="202" spans="1:59" ht="24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6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</row>
    <row r="203" spans="1:59" ht="24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6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</row>
    <row r="204" spans="1:59" ht="24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6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</row>
    <row r="205" spans="1:59" ht="24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6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</row>
    <row r="206" spans="1:59" ht="24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6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</row>
    <row r="207" spans="1:59" ht="24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6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</row>
    <row r="208" spans="1:59" ht="24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6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</row>
    <row r="209" spans="1:59" ht="24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6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</row>
    <row r="210" spans="1:59" ht="24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6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</row>
    <row r="211" spans="1:59" ht="24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6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</row>
    <row r="212" spans="1:59" ht="24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6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</row>
    <row r="213" spans="1:59" ht="24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6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</row>
    <row r="214" spans="1:59" ht="24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6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</row>
    <row r="215" spans="1:59" ht="24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6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</row>
    <row r="216" spans="1:59" ht="24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6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</row>
    <row r="217" spans="1:59" ht="24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6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</row>
    <row r="218" spans="1:59" ht="24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6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</row>
    <row r="219" spans="1:59" ht="24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6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</row>
    <row r="220" spans="1:59" ht="24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6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</row>
    <row r="221" spans="1:59" ht="24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6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</row>
    <row r="222" spans="1:59" ht="24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6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</row>
    <row r="223" spans="1:59" ht="24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6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</row>
    <row r="224" spans="1:59" ht="24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6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</row>
    <row r="225" spans="1:59" ht="24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6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</row>
    <row r="226" spans="1:59" ht="24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6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</row>
    <row r="227" spans="1:59" ht="24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6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</row>
    <row r="228" spans="1:59" ht="24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6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</row>
    <row r="229" spans="1:59" ht="24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6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</row>
    <row r="230" spans="1:59" ht="24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6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</row>
    <row r="231" spans="1:59" ht="24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6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</row>
    <row r="232" spans="1:59" ht="24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6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</row>
    <row r="233" spans="1:59" ht="24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6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</row>
    <row r="234" spans="1:59" ht="24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6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</row>
    <row r="235" spans="1:59" ht="24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6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</row>
    <row r="236" spans="1:59" ht="24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6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</row>
    <row r="237" spans="1:59" ht="24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6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</row>
    <row r="238" spans="1:59" ht="24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6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</row>
    <row r="239" spans="1:59" ht="24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6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</row>
    <row r="240" spans="1:59" ht="24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6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</row>
    <row r="241" spans="1:59" ht="24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6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</row>
    <row r="242" spans="1:59" ht="24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6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</row>
    <row r="243" spans="1:59" ht="24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6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</row>
    <row r="244" spans="1:59" ht="24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6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</row>
    <row r="245" spans="1:59" ht="24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6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</row>
    <row r="246" spans="1:59" ht="24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6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</row>
    <row r="247" spans="1:59" ht="24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6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</row>
    <row r="248" spans="1:59" ht="24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6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</row>
    <row r="249" spans="1:59" ht="24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6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</row>
    <row r="250" spans="1:59" ht="24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6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</row>
    <row r="251" spans="1:59" ht="24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6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</row>
    <row r="252" spans="1:59" ht="24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6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</row>
    <row r="253" spans="1:59" ht="24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6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</row>
    <row r="254" spans="1:59" ht="24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6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</row>
    <row r="255" spans="1:59" ht="24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6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</row>
    <row r="256" spans="1:59" ht="24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6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</row>
    <row r="257" spans="1:59" ht="24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6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</row>
    <row r="258" spans="1:59" ht="24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6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</row>
    <row r="259" spans="1:59" ht="24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6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</row>
    <row r="260" spans="1:59" ht="24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6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</row>
    <row r="261" spans="1:59" ht="24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6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</row>
    <row r="262" spans="1:59" ht="24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6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</row>
    <row r="263" spans="1:59" ht="24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6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</row>
    <row r="264" spans="1:59" ht="24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6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</row>
    <row r="265" spans="1:59" ht="24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6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</row>
    <row r="266" spans="1:59" ht="24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6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</row>
    <row r="267" spans="1:59" ht="24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6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</row>
    <row r="268" spans="1:59" ht="24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6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</row>
    <row r="269" spans="1:59" ht="24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6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</row>
    <row r="270" spans="1:59" ht="24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6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</row>
    <row r="271" spans="1:59" ht="24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6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</row>
    <row r="272" spans="1:59" ht="24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6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</row>
    <row r="273" spans="1:59" ht="24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6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</row>
    <row r="274" spans="1:59" ht="24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6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</row>
    <row r="275" spans="1:59" ht="24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6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</row>
    <row r="276" spans="1:59" ht="24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6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</row>
    <row r="277" spans="1:59" ht="24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6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</row>
    <row r="278" spans="1:59" ht="24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6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</row>
    <row r="279" spans="1:59" ht="24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6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</row>
    <row r="280" spans="1:59" ht="24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6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</row>
    <row r="281" spans="1:59" ht="24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6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</row>
    <row r="282" spans="1:59" ht="24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6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</row>
    <row r="283" spans="1:59" ht="24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6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</row>
    <row r="284" spans="1:59" ht="24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6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</row>
    <row r="285" spans="1:59" ht="24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6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</row>
    <row r="286" spans="1:59" ht="24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6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</row>
    <row r="287" spans="1:59" ht="24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6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</row>
    <row r="288" spans="1:59" ht="24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6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</row>
    <row r="289" spans="1:59" ht="24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6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</row>
    <row r="290" spans="1:59" ht="24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6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</row>
    <row r="291" spans="1:59" ht="24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6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</row>
    <row r="292" spans="1:59" ht="24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6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</row>
    <row r="293" spans="1:59" ht="24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6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</row>
    <row r="294" spans="1:59" ht="24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6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</row>
    <row r="295" spans="1:59" ht="24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6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</row>
    <row r="296" spans="1:59" ht="24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6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</row>
    <row r="297" spans="1:59" ht="24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6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</row>
    <row r="298" spans="1:59" ht="24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6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</row>
    <row r="299" spans="1:59" ht="24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6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</row>
    <row r="300" spans="1:59" ht="24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6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</row>
    <row r="301" spans="1:59" ht="24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6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</row>
    <row r="302" spans="1:59" ht="24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6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</row>
    <row r="303" spans="1:59" ht="24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6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</row>
    <row r="304" spans="1:59" ht="24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6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</row>
    <row r="305" spans="1:59" ht="24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6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</row>
    <row r="306" spans="1:59" ht="24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6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</row>
    <row r="307" spans="1:59" ht="24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6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</row>
    <row r="308" spans="1:59" ht="24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6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</row>
    <row r="309" spans="1:59" ht="24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6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</row>
    <row r="310" spans="1:59" ht="24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6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</row>
    <row r="311" spans="1:59" ht="24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6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</row>
    <row r="312" spans="1:59" ht="24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6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</row>
    <row r="313" spans="1:59" ht="24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6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</row>
    <row r="314" spans="1:59" ht="24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6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</row>
    <row r="315" spans="1:59" ht="24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6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</row>
    <row r="316" spans="1:59" ht="24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6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</row>
    <row r="317" spans="1:59" ht="24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6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</row>
    <row r="318" spans="1:59" ht="24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6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</row>
    <row r="319" spans="1:59" ht="24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6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</row>
    <row r="320" spans="1:59" ht="24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6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</row>
    <row r="321" spans="1:59" ht="24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6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</row>
    <row r="322" spans="1:59" ht="24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6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</row>
    <row r="323" spans="1:59" ht="24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6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</row>
    <row r="324" spans="1:59" ht="24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6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</row>
    <row r="325" spans="1:59" ht="24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6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</row>
    <row r="326" spans="1:59" ht="24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6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</row>
    <row r="327" spans="1:59" ht="24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6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</row>
    <row r="328" spans="1:59" ht="24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6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</row>
    <row r="329" spans="1:59" ht="24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6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</row>
    <row r="330" spans="1:59" ht="24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6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</row>
    <row r="331" spans="1:59" ht="24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6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</row>
    <row r="332" spans="1:59" ht="24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6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</row>
    <row r="333" spans="1:59" ht="24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6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</row>
    <row r="334" spans="1:59" ht="24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6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</row>
    <row r="335" spans="1:59" ht="24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6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</row>
    <row r="336" spans="1:59" ht="24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6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</row>
    <row r="337" spans="1:59" ht="24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6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</row>
    <row r="338" spans="1:59" ht="24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</row>
    <row r="339" spans="1:59" ht="24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6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</row>
    <row r="340" spans="1:59" ht="24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6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</row>
    <row r="341" spans="1:59" ht="24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6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</row>
    <row r="342" spans="1:59" ht="24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6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</row>
    <row r="343" spans="1:59" ht="24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6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</row>
    <row r="344" spans="1:59" ht="24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6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</row>
    <row r="345" spans="1:59" ht="24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6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</row>
    <row r="346" spans="1:59" ht="24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6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</row>
    <row r="347" spans="1:59" ht="24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6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</row>
    <row r="348" spans="1:59" ht="24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6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</row>
    <row r="349" spans="1:59" ht="24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</row>
    <row r="350" spans="1:59" ht="24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6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</row>
    <row r="351" spans="1:59" ht="24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6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</row>
    <row r="352" spans="1:59" ht="24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6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</row>
    <row r="353" spans="1:59" ht="24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6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</row>
    <row r="354" spans="1:59" ht="24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6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</row>
    <row r="355" spans="1:59" ht="24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6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</row>
    <row r="356" spans="1:59" ht="24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6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</row>
    <row r="357" spans="1:59" ht="24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6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</row>
    <row r="358" spans="1:59" ht="24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6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</row>
    <row r="359" spans="1:59" ht="24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6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</row>
    <row r="360" spans="1:59" ht="24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6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</row>
    <row r="361" spans="1:59" ht="24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6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</row>
    <row r="362" spans="1:59" ht="24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6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</row>
    <row r="363" spans="1:59" ht="24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6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</row>
    <row r="364" spans="1:59" ht="24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6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</row>
    <row r="365" spans="1:59" ht="24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6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</row>
    <row r="366" spans="1:59" ht="24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6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</row>
    <row r="367" spans="1:59" ht="24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6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</row>
    <row r="368" spans="1:59" ht="24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6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</row>
    <row r="369" spans="1:59" ht="24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6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</row>
    <row r="370" spans="1:59" ht="24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6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</row>
    <row r="371" spans="1:59" ht="24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6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</row>
    <row r="372" spans="1:59" ht="24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6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</row>
    <row r="373" spans="1:59" ht="24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6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</row>
    <row r="374" spans="1:59" ht="24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6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</row>
    <row r="375" spans="1:59" ht="24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6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</row>
    <row r="376" spans="1:59" ht="24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6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</row>
    <row r="377" spans="1:59" ht="24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</row>
    <row r="378" spans="1:59" ht="24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6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</row>
    <row r="379" spans="1:59" ht="24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6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</row>
    <row r="380" spans="1:59" ht="24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6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</row>
    <row r="381" spans="1:59" ht="24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6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</row>
    <row r="382" spans="1:59" ht="24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6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</row>
    <row r="383" spans="1:59" ht="24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6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</row>
    <row r="384" spans="1:59" ht="24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6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</row>
    <row r="385" spans="1:59" ht="24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6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</row>
    <row r="386" spans="1:59" ht="24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6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</row>
    <row r="387" spans="1:59" ht="24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6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</row>
    <row r="388" spans="1:59" ht="24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</row>
    <row r="389" spans="1:59" ht="24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6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</row>
    <row r="390" spans="1:59" ht="24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6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</row>
    <row r="391" spans="1:59" ht="24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6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</row>
    <row r="392" spans="1:59" ht="24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6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</row>
    <row r="393" spans="1:59" ht="24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6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</row>
    <row r="394" spans="1:59" ht="24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6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</row>
    <row r="395" spans="1:59" ht="24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6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</row>
    <row r="396" spans="1:59" ht="24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6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</row>
    <row r="397" spans="1:59" ht="24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6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</row>
    <row r="398" spans="1:59" ht="24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6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</row>
    <row r="399" spans="1:59" ht="24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6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</row>
    <row r="400" spans="1:59" ht="24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6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</row>
    <row r="401" spans="1:59" ht="24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6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</row>
    <row r="402" spans="1:59" ht="24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6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</row>
    <row r="403" spans="1:59" ht="24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6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</row>
    <row r="404" spans="1:59" ht="24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6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</row>
    <row r="405" spans="1:59" ht="24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6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</row>
    <row r="406" spans="1:59" ht="24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6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</row>
    <row r="407" spans="1:59" ht="24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6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</row>
    <row r="408" spans="1:59" ht="24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6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</row>
    <row r="409" spans="1:59" ht="24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6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</row>
    <row r="410" spans="1:59" ht="24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6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</row>
    <row r="411" spans="1:59" ht="24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6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</row>
    <row r="412" spans="1:59" ht="24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6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</row>
    <row r="413" spans="1:59" ht="24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6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</row>
    <row r="414" spans="1:59" ht="24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</row>
    <row r="415" spans="1:59" ht="24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6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</row>
    <row r="416" spans="1:59" ht="24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</row>
    <row r="417" spans="1:59" ht="24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</row>
    <row r="418" spans="1:59" ht="24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6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</row>
    <row r="419" spans="1:59" ht="24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6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</row>
    <row r="420" spans="1:59" ht="24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6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</row>
    <row r="421" spans="1:59" ht="24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6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</row>
    <row r="422" spans="1:59" ht="24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6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</row>
    <row r="423" spans="1:59" ht="24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6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</row>
    <row r="424" spans="1:59" ht="24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6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</row>
    <row r="425" spans="1:59" ht="24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6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</row>
    <row r="426" spans="1:59" ht="24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6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</row>
    <row r="427" spans="1:59" ht="24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6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</row>
    <row r="428" spans="1:59" ht="24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</row>
    <row r="429" spans="1:59" ht="24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6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</row>
    <row r="430" spans="1:59" ht="24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6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</row>
    <row r="431" spans="1:59" ht="24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6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</row>
    <row r="432" spans="1:59" ht="24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6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</row>
    <row r="433" spans="1:59" ht="24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6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</row>
    <row r="434" spans="1:59" ht="24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6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</row>
    <row r="435" spans="1:59" ht="24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</row>
    <row r="436" spans="1:59" ht="24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6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</row>
    <row r="437" spans="1:59" ht="24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6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</row>
    <row r="438" spans="1:59" ht="24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6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</row>
    <row r="439" spans="1:59" ht="24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</row>
    <row r="440" spans="1:59" ht="24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6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</row>
    <row r="441" spans="1:59" ht="24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6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</row>
    <row r="442" spans="1:59" ht="24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6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</row>
    <row r="443" spans="1:59" ht="24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6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</row>
    <row r="444" spans="1:59" ht="24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6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</row>
    <row r="445" spans="1:59" ht="24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6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</row>
    <row r="446" spans="1:59" ht="24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6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</row>
    <row r="447" spans="1:59" ht="24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6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</row>
    <row r="448" spans="1:59" ht="24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6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</row>
    <row r="449" spans="1:59" ht="24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6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</row>
    <row r="450" spans="1:59" ht="24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6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</row>
    <row r="451" spans="1:59" ht="24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6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</row>
    <row r="452" spans="1:59" ht="24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6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</row>
    <row r="453" spans="1:59" ht="24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6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</row>
    <row r="454" spans="1:59" ht="24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6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</row>
    <row r="455" spans="1:59" ht="24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6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</row>
    <row r="456" spans="1:59" ht="24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6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</row>
    <row r="457" spans="1:59" ht="24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6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</row>
    <row r="458" spans="1:59" ht="24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6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</row>
    <row r="459" spans="1:59" ht="24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6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</row>
    <row r="460" spans="1:59" ht="24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6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</row>
    <row r="461" spans="1:59" ht="24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6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</row>
    <row r="462" spans="1:59" ht="24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6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</row>
    <row r="463" spans="1:59" ht="24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6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</row>
    <row r="464" spans="1:59" ht="24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6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</row>
    <row r="465" spans="1:59" ht="24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6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</row>
    <row r="466" spans="1:59" ht="24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</row>
    <row r="467" spans="1:59" ht="24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</row>
    <row r="468" spans="1:59" ht="24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6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</row>
    <row r="469" spans="1:59" ht="24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6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</row>
    <row r="470" spans="1:59" ht="24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6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</row>
    <row r="471" spans="1:59" ht="24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6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</row>
    <row r="472" spans="1:59" ht="24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6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</row>
    <row r="473" spans="1:59" ht="24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6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</row>
    <row r="474" spans="1:59" ht="24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6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</row>
    <row r="475" spans="1:59" ht="24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6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</row>
    <row r="476" spans="1:59" ht="24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6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</row>
    <row r="477" spans="1:59" ht="24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6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</row>
    <row r="478" spans="1:59" ht="24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6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</row>
    <row r="479" spans="1:59" ht="24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6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</row>
    <row r="480" spans="1:59" ht="24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6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</row>
    <row r="481" spans="1:59" ht="24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6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</row>
    <row r="482" spans="1:59" ht="24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6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</row>
    <row r="483" spans="1:59" ht="24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6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</row>
    <row r="484" spans="1:59" ht="24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6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</row>
    <row r="485" spans="1:59" ht="24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6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</row>
    <row r="486" spans="1:59" ht="24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6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</row>
    <row r="487" spans="1:59" ht="24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6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</row>
    <row r="488" spans="1:59" ht="24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6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</row>
    <row r="489" spans="1:59" ht="24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6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</row>
    <row r="490" spans="1:59" ht="24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6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</row>
    <row r="491" spans="1:59" ht="24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6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</row>
    <row r="492" spans="1:59" ht="24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</row>
    <row r="493" spans="1:59" ht="24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6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</row>
    <row r="494" spans="1:59" ht="24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6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</row>
    <row r="495" spans="1:59" ht="24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6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</row>
    <row r="496" spans="1:59" ht="24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6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</row>
    <row r="497" spans="1:59" ht="24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6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</row>
    <row r="498" spans="1:59" ht="24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6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</row>
    <row r="499" spans="1:59" ht="24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6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</row>
    <row r="500" spans="1:59" ht="24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6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</row>
    <row r="501" spans="1:59" ht="24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6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</row>
    <row r="502" spans="1:59" ht="24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6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</row>
    <row r="503" spans="1:59" ht="24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6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</row>
    <row r="504" spans="1:59" ht="24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6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</row>
    <row r="505" spans="1:59" ht="24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6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</row>
    <row r="506" spans="1:59" ht="24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6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</row>
    <row r="507" spans="1:59" ht="24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6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</row>
    <row r="508" spans="1:59" ht="24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6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</row>
    <row r="509" spans="1:59" ht="24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6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</row>
    <row r="510" spans="1:59" ht="24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6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</row>
    <row r="511" spans="1:59" ht="24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6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</row>
    <row r="512" spans="1:59" ht="24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6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</row>
    <row r="513" spans="1:59" ht="24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6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</row>
    <row r="514" spans="1:59" ht="24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6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</row>
    <row r="515" spans="1:59" ht="24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6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</row>
    <row r="516" spans="1:59" ht="24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6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</row>
    <row r="517" spans="1:59" ht="24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6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</row>
    <row r="518" spans="1:59" ht="24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6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</row>
    <row r="519" spans="1:59" ht="24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6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</row>
    <row r="520" spans="1:59" ht="24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6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</row>
    <row r="521" spans="1:59" ht="24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6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</row>
    <row r="522" spans="1:59" ht="24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6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</row>
    <row r="523" spans="1:59" ht="24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6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</row>
    <row r="524" spans="1:59" ht="24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6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</row>
    <row r="525" spans="1:59" ht="24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6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</row>
    <row r="526" spans="1:59" ht="24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6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</row>
    <row r="527" spans="1:59" ht="24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6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</row>
    <row r="528" spans="1:59" ht="24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6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</row>
    <row r="529" spans="1:59" ht="24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6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</row>
    <row r="530" spans="1:59" ht="24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6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</row>
    <row r="531" spans="1:59" ht="24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6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</row>
    <row r="532" spans="1:59" ht="24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6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</row>
    <row r="533" spans="1:59" ht="24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6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</row>
    <row r="534" spans="1:59" ht="24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6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</row>
    <row r="535" spans="1:59" ht="24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6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</row>
    <row r="536" spans="1:59" ht="24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6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</row>
    <row r="537" spans="1:59" ht="24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6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</row>
    <row r="538" spans="1:59" ht="24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6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</row>
    <row r="539" spans="1:59" ht="24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6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</row>
    <row r="540" spans="1:59" ht="24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6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</row>
    <row r="541" spans="1:59" ht="24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6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</row>
    <row r="542" spans="1:59" ht="24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6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</row>
    <row r="543" spans="1:59" ht="24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6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</row>
    <row r="544" spans="1:59" ht="24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6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</row>
    <row r="545" spans="1:59" ht="24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6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</row>
    <row r="546" spans="1:59" ht="24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6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</row>
    <row r="547" spans="1:59" ht="24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6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</row>
    <row r="548" spans="1:59" ht="24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6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</row>
    <row r="549" spans="1:59" ht="24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6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</row>
    <row r="550" spans="1:59" ht="24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6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</row>
    <row r="551" spans="1:59" ht="24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6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</row>
    <row r="552" spans="1:59" ht="24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6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</row>
    <row r="553" spans="1:59" ht="24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6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  <c r="AX553" s="5"/>
      <c r="AY553" s="5"/>
      <c r="AZ553" s="5"/>
      <c r="BA553" s="5"/>
      <c r="BB553" s="5"/>
      <c r="BC553" s="5"/>
      <c r="BD553" s="5"/>
      <c r="BE553" s="5"/>
      <c r="BF553" s="5"/>
      <c r="BG553" s="5"/>
    </row>
    <row r="554" spans="1:59" ht="24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6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/>
      <c r="BG554" s="5"/>
    </row>
    <row r="555" spans="1:59" ht="24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6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  <c r="AX555" s="5"/>
      <c r="AY555" s="5"/>
      <c r="AZ555" s="5"/>
      <c r="BA555" s="5"/>
      <c r="BB555" s="5"/>
      <c r="BC555" s="5"/>
      <c r="BD555" s="5"/>
      <c r="BE555" s="5"/>
      <c r="BF555" s="5"/>
      <c r="BG555" s="5"/>
    </row>
    <row r="556" spans="1:59" ht="24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6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</row>
    <row r="557" spans="1:59" ht="24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6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F557" s="5"/>
      <c r="BG557" s="5"/>
    </row>
    <row r="558" spans="1:59" ht="24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6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</row>
    <row r="559" spans="1:59" ht="24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6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</row>
    <row r="560" spans="1:59" ht="24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6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F560" s="5"/>
      <c r="BG560" s="5"/>
    </row>
    <row r="561" spans="1:59" ht="24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6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</row>
    <row r="562" spans="1:59" ht="24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6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</row>
    <row r="563" spans="1:59" ht="24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6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</row>
    <row r="564" spans="1:59" ht="24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6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</row>
    <row r="565" spans="1:59" ht="24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6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</row>
    <row r="566" spans="1:59" ht="24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6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</row>
    <row r="567" spans="1:59" ht="24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6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</row>
    <row r="568" spans="1:59" ht="24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6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</row>
    <row r="569" spans="1:59" ht="24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6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</row>
    <row r="570" spans="1:59" ht="24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6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</row>
    <row r="571" spans="1:59" ht="24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6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</row>
    <row r="572" spans="1:59" ht="24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6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</row>
    <row r="573" spans="1:59" ht="24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6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</row>
    <row r="574" spans="1:59" ht="24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6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</row>
    <row r="575" spans="1:59" ht="24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6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</row>
    <row r="576" spans="1:59" ht="24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6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</row>
    <row r="577" spans="1:59" ht="24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6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</row>
    <row r="578" spans="1:59" ht="24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6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</row>
    <row r="579" spans="1:59" ht="24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6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</row>
    <row r="580" spans="1:59" ht="24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6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</row>
    <row r="581" spans="1:59" ht="24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6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</row>
    <row r="582" spans="1:59" ht="24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6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</row>
    <row r="583" spans="1:59" ht="24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6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</row>
    <row r="584" spans="1:59" ht="24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6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5"/>
      <c r="AZ584" s="5"/>
      <c r="BA584" s="5"/>
      <c r="BB584" s="5"/>
      <c r="BC584" s="5"/>
      <c r="BD584" s="5"/>
      <c r="BE584" s="5"/>
      <c r="BF584" s="5"/>
      <c r="BG584" s="5"/>
    </row>
    <row r="585" spans="1:59" ht="24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6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</row>
    <row r="586" spans="1:59" ht="24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6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</row>
    <row r="587" spans="1:59" ht="24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6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</row>
    <row r="588" spans="1:59" ht="24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6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</row>
    <row r="589" spans="1:59" ht="24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6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</row>
    <row r="590" spans="1:59" ht="24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6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</row>
    <row r="591" spans="1:59" ht="24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6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</row>
    <row r="592" spans="1:59" ht="24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6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</row>
    <row r="593" spans="1:59" ht="24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6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</row>
    <row r="594" spans="1:59" ht="24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6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</row>
    <row r="595" spans="1:59" ht="24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6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</row>
    <row r="596" spans="1:59" ht="24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6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</row>
    <row r="597" spans="1:59" ht="24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6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</row>
    <row r="598" spans="1:59" ht="24.75" customHeight="1">
      <c r="A598" s="5"/>
      <c r="B598" s="5" t="s">
        <v>95</v>
      </c>
      <c r="C598" s="5"/>
      <c r="D598" s="5"/>
      <c r="E598" s="5"/>
      <c r="F598" s="5"/>
      <c r="G598" s="5"/>
      <c r="H598" s="5"/>
      <c r="I598" s="5"/>
      <c r="J598" s="5"/>
      <c r="K598" s="5"/>
      <c r="L598" s="6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</row>
    <row r="599" spans="1:59" ht="24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6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</row>
    <row r="600" spans="1:59" ht="24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6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</row>
    <row r="601" spans="1:59" ht="24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6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</row>
    <row r="602" spans="1:59" ht="24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6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</row>
    <row r="603" spans="1:59" ht="24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6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</row>
    <row r="604" spans="1:59" ht="24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6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</row>
    <row r="605" spans="1:59" ht="24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6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</row>
    <row r="606" spans="1:59" ht="24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6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</row>
    <row r="607" spans="1:59" ht="24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6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</row>
    <row r="608" spans="1:59" ht="24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6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</row>
    <row r="609" spans="1:59" ht="24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6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</row>
    <row r="610" spans="1:59" ht="24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6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</row>
    <row r="611" spans="1:59" ht="24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6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</row>
    <row r="612" spans="1:59" ht="24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6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</row>
    <row r="613" spans="1:59" ht="24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6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</row>
    <row r="614" spans="1:59" ht="24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6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</row>
    <row r="615" spans="1:59" ht="24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6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</row>
    <row r="616" spans="1:59" ht="24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6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F616" s="5"/>
      <c r="BG616" s="5"/>
    </row>
    <row r="617" spans="1:59" ht="24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6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</row>
    <row r="618" spans="1:59" ht="24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6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</row>
    <row r="619" spans="1:59" ht="24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6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</row>
    <row r="620" spans="1:59" ht="24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6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</row>
    <row r="621" spans="1:59" ht="24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6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</row>
    <row r="622" spans="1:59" ht="24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6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</row>
    <row r="623" spans="1:59" ht="24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6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</row>
    <row r="624" spans="1:59" ht="24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6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</row>
    <row r="625" spans="1:59" ht="24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6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</row>
    <row r="626" spans="1:59" ht="24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6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F626" s="5"/>
      <c r="BG626" s="5"/>
    </row>
    <row r="627" spans="1:59" ht="24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6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F627" s="5"/>
      <c r="BG627" s="5"/>
    </row>
    <row r="628" spans="1:59" ht="24.75" customHeight="1">
      <c r="A628" s="5"/>
      <c r="B628" s="5" t="s">
        <v>96</v>
      </c>
      <c r="C628" s="5"/>
      <c r="D628" s="5"/>
      <c r="E628" s="5"/>
      <c r="F628" s="5"/>
      <c r="G628" s="5"/>
      <c r="H628" s="5"/>
      <c r="I628" s="5"/>
      <c r="J628" s="5"/>
      <c r="K628" s="5"/>
      <c r="L628" s="6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</row>
    <row r="629" spans="1:59" ht="24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6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</row>
    <row r="630" spans="1:59" ht="24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6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</row>
    <row r="631" spans="1:59" ht="24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6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</row>
    <row r="632" spans="1:59" ht="24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6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</row>
    <row r="633" spans="1:59" ht="24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6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</row>
    <row r="634" spans="1:59" ht="24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6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</row>
    <row r="635" spans="1:59" ht="24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6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</row>
    <row r="636" spans="1:59" ht="24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6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</row>
    <row r="637" spans="1:59" ht="24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6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</row>
    <row r="638" spans="1:59" ht="24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6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</row>
    <row r="639" spans="1:59" ht="24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6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</row>
    <row r="640" spans="1:59" ht="24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6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</row>
    <row r="641" spans="1:59" ht="24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6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</row>
    <row r="642" spans="1:59" ht="24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6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</row>
    <row r="643" spans="1:59" ht="24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6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</row>
    <row r="644" spans="1:59" ht="24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6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</row>
    <row r="645" spans="1:59" ht="24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6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</row>
    <row r="646" spans="1:59" ht="24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6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</row>
    <row r="647" spans="1:59" ht="24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6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</row>
    <row r="648" spans="1:59" ht="24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6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</row>
    <row r="649" spans="1:59" ht="24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6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</row>
    <row r="650" spans="1:59" ht="15" customHeight="1"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6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spans="1:59" ht="15" customHeight="1"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6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spans="1:59" ht="15" customHeight="1"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6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spans="1:59" ht="15" customHeight="1"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6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spans="1:59" ht="15" customHeight="1"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6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spans="1:59" ht="15" customHeight="1"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6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spans="1:59" ht="15" customHeight="1">
      <c r="B656" s="5" t="s">
        <v>97</v>
      </c>
      <c r="C656" s="5"/>
      <c r="D656" s="5"/>
      <c r="E656" s="5"/>
      <c r="F656" s="5"/>
      <c r="G656" s="5"/>
      <c r="H656" s="5"/>
      <c r="I656" s="5"/>
      <c r="J656" s="5"/>
      <c r="K656" s="5"/>
      <c r="L656" s="6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</sheetData>
  <phoneticPr fontId="2" type="noConversion"/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8EA3-0925-4BB4-92FF-1945A9187BF6}">
  <dimension ref="W91"/>
  <sheetViews>
    <sheetView topLeftCell="A431" zoomScale="55" zoomScaleNormal="55" workbookViewId="0">
      <selection activeCell="V44" sqref="V44"/>
    </sheetView>
  </sheetViews>
  <sheetFormatPr defaultRowHeight="14.4"/>
  <sheetData>
    <row r="91" spans="23:23">
      <c r="W91" s="1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엘오티베큠</vt:lpstr>
      <vt:lpstr>차트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KIM</dc:creator>
  <cp:lastModifiedBy>체리 형부</cp:lastModifiedBy>
  <dcterms:created xsi:type="dcterms:W3CDTF">2021-08-29T08:24:34Z</dcterms:created>
  <dcterms:modified xsi:type="dcterms:W3CDTF">2023-02-06T11:56:21Z</dcterms:modified>
</cp:coreProperties>
</file>